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ts" sheetId="1" r:id="rId1"/>
    <sheet name="Summary" sheetId="2" r:id="rId2"/>
    <sheet name="Charts" sheetId="3" r:id="rId3"/>
    <sheet name="Months" sheetId="4" r:id="rId4"/>
    <sheet name="Sports" sheetId="5" r:id="rId5"/>
    <sheet name="Statuses" sheetId="6" r:id="rId6"/>
    <sheet name="Balance" sheetId="7" r:id="rId7"/>
  </sheets>
  <calcPr calcId="124519" fullCalcOnLoad="1"/>
</workbook>
</file>

<file path=xl/comments1.xml><?xml version="1.0" encoding="utf-8"?>
<comments xmlns="http://schemas.openxmlformats.org/spreadsheetml/2006/main">
  <authors>
    <author>BetTrack</author>
  </authors>
  <commentList>
    <comment ref="B4" authorId="0">
      <text>
        <r>
          <rPr>
            <sz val="8"/>
            <color indexed="81"/>
            <rFont val="Tahoma"/>
            <family val="2"/>
          </rPr>
          <t>Type the amount you set aside for betting. It is only used for the balances.</t>
        </r>
      </text>
    </comment>
  </commentList>
</comments>
</file>

<file path=xl/sharedStrings.xml><?xml version="1.0" encoding="utf-8"?>
<sst xmlns="http://schemas.openxmlformats.org/spreadsheetml/2006/main" count="100" uniqueCount="74">
  <si>
    <t>Date</t>
  </si>
  <si>
    <t>Bookmaker</t>
  </si>
  <si>
    <t>Sport</t>
  </si>
  <si>
    <t>Event</t>
  </si>
  <si>
    <t>Selection</t>
  </si>
  <si>
    <t>Market</t>
  </si>
  <si>
    <t>Bet type</t>
  </si>
  <si>
    <t>Legs</t>
  </si>
  <si>
    <t>Odds (decimal)</t>
  </si>
  <si>
    <t>Stake</t>
  </si>
  <si>
    <t>Status</t>
  </si>
  <si>
    <t>Return</t>
  </si>
  <si>
    <t>Profit</t>
  </si>
  <si>
    <t>Running balance</t>
  </si>
  <si>
    <t>Bookmaker A</t>
  </si>
  <si>
    <t>Football</t>
  </si>
  <si>
    <t>Arsenal v Chelsea</t>
  </si>
  <si>
    <t>Arsenal</t>
  </si>
  <si>
    <t>Match result</t>
  </si>
  <si>
    <t>Single</t>
  </si>
  <si>
    <t>Won</t>
  </si>
  <si>
    <t>Bookmaker B</t>
  </si>
  <si>
    <t>Tennis</t>
  </si>
  <si>
    <t>Sinner v Alcaraz</t>
  </si>
  <si>
    <t>Sinner</t>
  </si>
  <si>
    <t>Match winner</t>
  </si>
  <si>
    <t>Lost</t>
  </si>
  <si>
    <t>3 Saturday matches</t>
  </si>
  <si>
    <t>Three home wins</t>
  </si>
  <si>
    <t>Parlay</t>
  </si>
  <si>
    <t>Basketball</t>
  </si>
  <si>
    <t>Lakers v Celtics</t>
  </si>
  <si>
    <t>Over 221.5 points</t>
  </si>
  <si>
    <t>Total points</t>
  </si>
  <si>
    <t>Lyon v Lille</t>
  </si>
  <si>
    <t>Lyon</t>
  </si>
  <si>
    <t>Cash out</t>
  </si>
  <si>
    <t>Swiatek v Gauff</t>
  </si>
  <si>
    <t>Swiatek</t>
  </si>
  <si>
    <t>Pending</t>
  </si>
  <si>
    <t>Bet tracker template</t>
  </si>
  <si>
    <t>How to use it: set your starting bankroll in the yellow cell, then log each bet on its own row of the Bets sheet, columns A to L (a parlay is one row, with its number of legs). Profit, running balance and every figure below are calculated, and the Charts sheet draws them. The example rows show the format: delete them before you start.</t>
  </si>
  <si>
    <t>Starting bankroll</t>
  </si>
  <si>
    <t>Settled bets (void excluded)</t>
  </si>
  <si>
    <t>Bets won</t>
  </si>
  <si>
    <t>Bets lost</t>
  </si>
  <si>
    <t>Total staked (settled bets)</t>
  </si>
  <si>
    <t>Total returns</t>
  </si>
  <si>
    <t>Net result</t>
  </si>
  <si>
    <t>ROI</t>
  </si>
  <si>
    <t>Win rate (won ÷ won + lost)</t>
  </si>
  <si>
    <t>Average odds</t>
  </si>
  <si>
    <t>Stakes on pending bets</t>
  </si>
  <si>
    <t>Balance (settled bets)</t>
  </si>
  <si>
    <t>Made by BetTrack, the bet tracker for iPhone that logs bets from a screenshot: bet-track.app</t>
  </si>
  <si>
    <t>Net result by month</t>
  </si>
  <si>
    <t>Feeds the chart "Net result by month" on the Charts sheet. It updates from the Bets sheet: nothing to type here.</t>
  </si>
  <si>
    <t>Month</t>
  </si>
  <si>
    <t>Staked</t>
  </si>
  <si>
    <t>Up</t>
  </si>
  <si>
    <t>Down</t>
  </si>
  <si>
    <t>Net result by sport</t>
  </si>
  <si>
    <t>Feeds the chart "Net result by sport" on the Charts sheet. It updates from the Bets sheet: nothing to type here. The first 12 sports of the Bets sheet, in the order they first appear (column H numbers them).</t>
  </si>
  <si>
    <t>Bets</t>
  </si>
  <si>
    <t>Sport #</t>
  </si>
  <si>
    <t>Bets by status</t>
  </si>
  <si>
    <t>Feeds the chart "Bets by status" on the Charts sheet. It updates from the Bets sheet: nothing to type here.</t>
  </si>
  <si>
    <t>Void</t>
  </si>
  <si>
    <t>Balance after each bet</t>
  </si>
  <si>
    <t>Feeds the chart "Balance after each bet" on the Charts sheet. It updates from the Bets sheet: nothing to type here.</t>
  </si>
  <si>
    <t>Bet</t>
  </si>
  <si>
    <t>Balance</t>
  </si>
  <si>
    <t>Charts</t>
  </si>
  <si>
    <t>Every chart updates from the Bets sheet. Their tables are on the Months, Sports, Statuses and Balance sheets.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</si>
</sst>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0.00"/>
    <numFmt numFmtId="166" formatCode="&quot;$&quot;#,##0.00"/>
    <numFmt numFmtId="167" formatCode="0.0%"/>
    <numFmt numFmtId="168" formatCode="mmm yyyy"/>
  </numFmts>
  <fonts count="12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rgb="FF595959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13"/>
      <color theme="1"/>
      <name val="Arial"/>
      <family val="2"/>
    </font>
    <font>
      <u/>
      <sz val="9"/>
      <color rgb="FF7F7F7F"/>
      <name val="Arial"/>
      <family val="2"/>
    </font>
    <font>
      <sz val="8"/>
      <color rgb="FF595959"/>
      <name val="Arial"/>
      <family val="2"/>
    </font>
    <font>
      <sz val="8"/>
      <color rgb="FF7F7F7F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81A2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181A2B"/>
      </top>
      <bottom style="medium">
        <color rgb="FF181A2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165" fontId="2" fillId="0" borderId="1" xfId="0" applyNumberFormat="1" applyFont="1" applyBorder="1"/>
    <xf numFmtId="166" fontId="2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166" fontId="6" fillId="3" borderId="0" xfId="0" applyNumberFormat="1" applyFont="1" applyFill="1"/>
    <xf numFmtId="0" fontId="7" fillId="0" borderId="2" xfId="0" applyFont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7" fontId="5" fillId="0" borderId="1" xfId="0" applyNumberFormat="1" applyFont="1" applyBorder="1"/>
    <xf numFmtId="167" fontId="2" fillId="0" borderId="1" xfId="0" applyNumberFormat="1" applyFont="1" applyBorder="1"/>
    <xf numFmtId="166" fontId="5" fillId="0" borderId="1" xfId="0" applyNumberFormat="1" applyFont="1" applyBorder="1"/>
    <xf numFmtId="0" fontId="8" fillId="0" borderId="0" xfId="0" applyFont="1"/>
    <xf numFmtId="0" fontId="4" fillId="0" borderId="0" xfId="0" applyFont="1"/>
    <xf numFmtId="0" fontId="9" fillId="4" borderId="0" xfId="0" applyFont="1" applyFill="1"/>
    <xf numFmtId="168" fontId="2" fillId="0" borderId="0" xfId="0" applyNumberFormat="1" applyFont="1"/>
    <xf numFmtId="166" fontId="2" fillId="0" borderId="0" xfId="0" applyNumberFormat="1" applyFont="1"/>
    <xf numFmtId="166" fontId="10" fillId="0" borderId="0" xfId="0" applyNumberFormat="1" applyFont="1"/>
    <xf numFmtId="0" fontId="2" fillId="0" borderId="0" xfId="0" applyFont="1"/>
    <xf numFmtId="0" fontId="10" fillId="0" borderId="0" xfId="0" applyFont="1"/>
  </cellXfs>
  <cellStyles count="1">
    <cellStyle name="Normal" xfId="0" builtinId="0"/>
  </cellStyles>
  <dxfs count="3"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Balance after each bet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Balance</c:v>
          </c:tx>
          <c:spPr>
            <a:ln w="28575">
              <a:solidFill>
                <a:srgbClr val="2EAD6D"/>
              </a:solidFill>
            </a:ln>
          </c:spPr>
          <c:marker>
            <c:symbol val="none"/>
          </c:marker>
          <c:xVal>
            <c:strRef>
              <c:f>Balance!$A$5:$A$1004</c:f>
              <c:strCache>
                <c:ptCount val="100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</c:strCache>
            </c:strRef>
          </c:xVal>
          <c:yVal>
            <c:numRef>
              <c:f>Balance!$B$5:$B$1004</c:f>
              <c:numCache>
                <c:formatCode>General</c:formatCode>
                <c:ptCount val="1000"/>
                <c:pt idx="0">
                  <c:v>200</c:v>
                </c:pt>
                <c:pt idx="1">
                  <c:v>208.5</c:v>
                </c:pt>
                <c:pt idx="2">
                  <c:v>193.5</c:v>
                </c:pt>
                <c:pt idx="3">
                  <c:v>188.5</c:v>
                </c:pt>
                <c:pt idx="4">
                  <c:v>197.5</c:v>
                </c:pt>
                <c:pt idx="5">
                  <c:v>201.5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  <c:min val="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Bets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5E7EB"/>
              </a:solidFill>
            </a:ln>
          </c:spPr>
        </c:majorGridlines>
        <c:numFmt formatCode="&quot;$&quot;#,##0" sourceLinked="0"/>
        <c:tickLblPos val="nextTo"/>
        <c:crossAx val="50010001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Net result by month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Months!$D$4</c:f>
              <c:strCache>
                <c:ptCount val="1"/>
                <c:pt idx="0">
                  <c:v>Up</c:v>
                </c:pt>
              </c:strCache>
            </c:strRef>
          </c:tx>
          <c:spPr>
            <a:solidFill>
              <a:srgbClr val="2EAD6D"/>
            </a:solidFill>
            <a:ln>
              <a:noFill/>
            </a:ln>
          </c:spPr>
          <c:cat>
            <c:numRef>
              <c:f>Months!$A$5:$A$16</c:f>
              <c:numCache>
                <c:formatCode>General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Months!$D$5:$D$16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</c:numCache>
            </c:numRef>
          </c:val>
        </c:ser>
        <c:ser>
          <c:idx val="1"/>
          <c:order val="1"/>
          <c:tx>
            <c:strRef>
              <c:f>Months!$E$4</c:f>
              <c:strCache>
                <c:ptCount val="1"/>
                <c:pt idx="0">
                  <c:v>Down</c:v>
                </c:pt>
              </c:strCache>
            </c:strRef>
          </c:tx>
          <c:spPr>
            <a:solidFill>
              <a:srgbClr val="EF4444"/>
            </a:solidFill>
            <a:ln>
              <a:noFill/>
            </a:ln>
          </c:spPr>
          <c:cat>
            <c:numRef>
              <c:f>Months!$A$5:$A$16</c:f>
              <c:numCache>
                <c:formatCode>General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Months!$E$5:$E$16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5E7EB"/>
              </a:solidFill>
            </a:ln>
          </c:spPr>
        </c:majorGridlines>
        <c:numFmt formatCode="&quot;$&quot;#,##0" sourceLinked="0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Net result by sport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strRef>
              <c:f>Sports!$D$4</c:f>
              <c:strCache>
                <c:ptCount val="1"/>
                <c:pt idx="0">
                  <c:v>Up</c:v>
                </c:pt>
              </c:strCache>
            </c:strRef>
          </c:tx>
          <c:spPr>
            <a:solidFill>
              <a:srgbClr val="2EAD6D"/>
            </a:solidFill>
            <a:ln>
              <a:noFill/>
            </a:ln>
          </c:spPr>
          <c:cat>
            <c:strRef>
              <c:f>Sports!$A$5:$A$16</c:f>
              <c:strCache>
                <c:ptCount val="12"/>
                <c:pt idx="0">
                  <c:v>Football</c:v>
                </c:pt>
                <c:pt idx="1">
                  <c:v>Tennis</c:v>
                </c:pt>
                <c:pt idx="2">
                  <c:v>Basketball</c:v>
                </c:pt>
                <c:pt idx="3">
                  <c:v> </c:v>
                </c:pt>
                <c:pt idx="4">
                  <c:v> </c:v>
                </c:pt>
                <c:pt idx="5">
                  <c:v> </c:v>
                </c:pt>
                <c:pt idx="6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0">
                  <c:v> </c:v>
                </c:pt>
                <c:pt idx="11">
                  <c:v> </c:v>
                </c:pt>
              </c:strCache>
            </c:strRef>
          </c:cat>
          <c:val>
            <c:numRef>
              <c:f>Sports!$D$5:$D$16</c:f>
              <c:numCache>
                <c:formatCode>General</c:formatCode>
                <c:ptCount val="12"/>
                <c:pt idx="0">
                  <c:v>7.5</c:v>
                </c:pt>
                <c:pt idx="1">
                  <c:v>0</c:v>
                </c:pt>
                <c:pt idx="2">
                  <c:v>9.0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Sports!$E$4</c:f>
              <c:strCache>
                <c:ptCount val="1"/>
                <c:pt idx="0">
                  <c:v>Down</c:v>
                </c:pt>
              </c:strCache>
            </c:strRef>
          </c:tx>
          <c:spPr>
            <a:solidFill>
              <a:srgbClr val="EF4444"/>
            </a:solidFill>
            <a:ln>
              <a:noFill/>
            </a:ln>
          </c:spPr>
          <c:cat>
            <c:strRef>
              <c:f>Sports!$A$5:$A$16</c:f>
              <c:strCache>
                <c:ptCount val="12"/>
                <c:pt idx="0">
                  <c:v>Football</c:v>
                </c:pt>
                <c:pt idx="1">
                  <c:v>Tennis</c:v>
                </c:pt>
                <c:pt idx="2">
                  <c:v>Basketball</c:v>
                </c:pt>
                <c:pt idx="3">
                  <c:v> </c:v>
                </c:pt>
                <c:pt idx="4">
                  <c:v> </c:v>
                </c:pt>
                <c:pt idx="5">
                  <c:v> </c:v>
                </c:pt>
                <c:pt idx="6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0">
                  <c:v> </c:v>
                </c:pt>
                <c:pt idx="11">
                  <c:v> </c:v>
                </c:pt>
              </c:strCache>
            </c:strRef>
          </c:cat>
          <c:val>
            <c:numRef>
              <c:f>Sports!$E$5:$E$16</c:f>
              <c:numCache>
                <c:formatCode>General</c:formatCode>
                <c:ptCount val="12"/>
                <c:pt idx="0">
                  <c:v>0</c:v>
                </c:pt>
                <c:pt idx="1">
                  <c:v>-15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50030001"/>
        <c:axId val="50030002"/>
      </c:barChart>
      <c:catAx>
        <c:axId val="50030001"/>
        <c:scaling>
          <c:orientation val="maxMin"/>
        </c:scaling>
        <c:axPos val="l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&quot;$&quot;#,##0" sourceLinked="0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latin typeface="Arial"/>
              </a:defRPr>
            </a:pPr>
            <a:r>
              <a:rPr lang="en-US" sz="1200" b="1" baseline="0">
                <a:latin typeface="Arial"/>
              </a:rPr>
              <a:t>Bets by status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Bets by status</c:v>
          </c:tx>
          <c:dPt>
            <c:idx val="0"/>
            <c:spPr>
              <a:solidFill>
                <a:srgbClr val="2EAD6D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EF4444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94A3B8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59E0B"/>
              </a:solidFill>
              <a:ln>
                <a:solidFill>
                  <a:srgbClr val="FFFFFF"/>
                </a:solidFill>
              </a:ln>
            </c:spPr>
          </c:dPt>
          <c:dLbls>
            <c:showPercent val="1"/>
          </c:dLbls>
          <c:cat>
            <c:strRef>
              <c:f>Statuses!$A$5:$A$8</c:f>
              <c:strCache>
                <c:ptCount val="4"/>
                <c:pt idx="0">
                  <c:v>Won</c:v>
                </c:pt>
                <c:pt idx="1">
                  <c:v>Lost</c:v>
                </c:pt>
                <c:pt idx="2">
                  <c:v>Void</c:v>
                </c:pt>
                <c:pt idx="3">
                  <c:v>Cash out</c:v>
                </c:pt>
              </c:strCache>
            </c:strRef>
          </c:cat>
          <c:val>
            <c:numRef>
              <c:f>Statuses!$B$5:$B$8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457200</xdr:colOff>
      <xdr:row>19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</xdr:row>
      <xdr:rowOff>0</xdr:rowOff>
    </xdr:from>
    <xdr:to>
      <xdr:col>17</xdr:col>
      <xdr:colOff>457200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8</xdr:col>
      <xdr:colOff>457200</xdr:colOff>
      <xdr:row>37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17</xdr:col>
      <xdr:colOff>457200</xdr:colOff>
      <xdr:row>37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et-track.app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12.7109375" customWidth="1"/>
    <col min="4" max="5" width="24.7109375" customWidth="1"/>
    <col min="6" max="6" width="18.7109375" customWidth="1"/>
    <col min="7" max="7" width="12.7109375" customWidth="1"/>
    <col min="8" max="8" width="10.7109375" customWidth="1"/>
    <col min="9" max="9" width="12.7109375" customWidth="1"/>
    <col min="10" max="10" width="11.7109375" customWidth="1"/>
    <col min="11" max="11" width="12.7109375" customWidth="1"/>
    <col min="12" max="12" width="11.7109375" customWidth="1"/>
    <col min="13" max="13" width="12.7109375" customWidth="1"/>
    <col min="14" max="14" width="15.7109375" customWidth="1"/>
  </cols>
  <sheetData>
    <row r="1" spans="1:14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46313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4">
        <v>1</v>
      </c>
      <c r="I2" s="5">
        <v>1.85</v>
      </c>
      <c r="J2" s="6">
        <v>10</v>
      </c>
      <c r="K2" s="3" t="s">
        <v>20</v>
      </c>
      <c r="L2" s="6">
        <v>18.5</v>
      </c>
      <c r="M2" s="6">
        <f>IF(OR(K2="",K2="Pending"),"",L2-J2)</f>
        <v>8.5</v>
      </c>
      <c r="N2" s="6">
        <f>IF(M2="","",'Summary'!$B$4+SUM($M$2:M2))</f>
        <v>208.5</v>
      </c>
    </row>
    <row r="3" spans="1:14">
      <c r="A3" s="2">
        <v>46314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19</v>
      </c>
      <c r="H3" s="4">
        <v>1</v>
      </c>
      <c r="I3" s="5">
        <v>1.65</v>
      </c>
      <c r="J3" s="6">
        <v>15</v>
      </c>
      <c r="K3" s="3" t="s">
        <v>26</v>
      </c>
      <c r="L3" s="6">
        <v>0</v>
      </c>
      <c r="M3" s="6">
        <f>IF(OR(K3="",K3="Pending"),"",L3-J3)</f>
        <v>-15</v>
      </c>
      <c r="N3" s="6">
        <f>IF(M3="","",'Summary'!$B$4+SUM($M$2:M3))</f>
        <v>193.5</v>
      </c>
    </row>
    <row r="4" spans="1:14">
      <c r="A4" s="2">
        <v>46314</v>
      </c>
      <c r="B4" s="3" t="s">
        <v>14</v>
      </c>
      <c r="C4" s="3" t="s">
        <v>15</v>
      </c>
      <c r="D4" s="3" t="s">
        <v>27</v>
      </c>
      <c r="E4" s="3" t="s">
        <v>28</v>
      </c>
      <c r="F4" s="3" t="s">
        <v>18</v>
      </c>
      <c r="G4" s="3" t="s">
        <v>29</v>
      </c>
      <c r="H4" s="4">
        <v>3</v>
      </c>
      <c r="I4" s="5">
        <v>5.2</v>
      </c>
      <c r="J4" s="6">
        <v>5</v>
      </c>
      <c r="K4" s="3" t="s">
        <v>26</v>
      </c>
      <c r="L4" s="6">
        <v>0</v>
      </c>
      <c r="M4" s="6">
        <f>IF(OR(K4="",K4="Pending"),"",L4-J4)</f>
        <v>-5</v>
      </c>
      <c r="N4" s="6">
        <f>IF(M4="","",'Summary'!$B$4+SUM($M$2:M4))</f>
        <v>188.5</v>
      </c>
    </row>
    <row r="5" spans="1:14">
      <c r="A5" s="2">
        <v>46315</v>
      </c>
      <c r="B5" s="3" t="s">
        <v>21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19</v>
      </c>
      <c r="H5" s="4">
        <v>1</v>
      </c>
      <c r="I5" s="5">
        <v>1.9</v>
      </c>
      <c r="J5" s="6">
        <v>10</v>
      </c>
      <c r="K5" s="3" t="s">
        <v>20</v>
      </c>
      <c r="L5" s="6">
        <v>19</v>
      </c>
      <c r="M5" s="6">
        <f>IF(OR(K5="",K5="Pending"),"",L5-J5)</f>
        <v>9.0</v>
      </c>
      <c r="N5" s="6">
        <f>IF(M5="","",'Summary'!$B$4+SUM($M$2:M5))</f>
        <v>197.5</v>
      </c>
    </row>
    <row r="6" spans="1:14">
      <c r="A6" s="2">
        <v>46316</v>
      </c>
      <c r="B6" s="3" t="s">
        <v>14</v>
      </c>
      <c r="C6" s="3" t="s">
        <v>15</v>
      </c>
      <c r="D6" s="3" t="s">
        <v>34</v>
      </c>
      <c r="E6" s="3" t="s">
        <v>35</v>
      </c>
      <c r="F6" s="3" t="s">
        <v>18</v>
      </c>
      <c r="G6" s="3" t="s">
        <v>19</v>
      </c>
      <c r="H6" s="4">
        <v>1</v>
      </c>
      <c r="I6" s="5">
        <v>2.4</v>
      </c>
      <c r="J6" s="6">
        <v>10</v>
      </c>
      <c r="K6" s="3" t="s">
        <v>36</v>
      </c>
      <c r="L6" s="6">
        <v>14</v>
      </c>
      <c r="M6" s="6">
        <f>IF(OR(K6="",K6="Pending"),"",L6-J6)</f>
        <v>4.0</v>
      </c>
      <c r="N6" s="6">
        <f>IF(M6="","",'Summary'!$B$4+SUM($M$2:M6))</f>
        <v>201.5</v>
      </c>
    </row>
    <row r="7" spans="1:14">
      <c r="A7" s="2">
        <v>46317</v>
      </c>
      <c r="B7" s="3" t="s">
        <v>21</v>
      </c>
      <c r="C7" s="3" t="s">
        <v>22</v>
      </c>
      <c r="D7" s="3" t="s">
        <v>37</v>
      </c>
      <c r="E7" s="3" t="s">
        <v>38</v>
      </c>
      <c r="F7" s="3" t="s">
        <v>25</v>
      </c>
      <c r="G7" s="3" t="s">
        <v>19</v>
      </c>
      <c r="H7" s="4">
        <v>1</v>
      </c>
      <c r="I7" s="5">
        <v>1.5</v>
      </c>
      <c r="J7" s="6">
        <v>10</v>
      </c>
      <c r="K7" s="3" t="s">
        <v>39</v>
      </c>
      <c r="L7" s="6"/>
      <c r="M7" s="6" t="str">
        <f>IF(OR(K7="",K7="Pending"),"",L7-J7)</f>
        <v> </v>
      </c>
      <c r="N7" s="6" t="str">
        <f>IF(M7="","",'Summary'!$B$4+SUM($M$2:M7))</f>
        <v> </v>
      </c>
    </row>
    <row r="8" spans="1:14">
      <c r="A8" s="2"/>
      <c r="B8" s="3"/>
      <c r="C8" s="3"/>
      <c r="D8" s="3"/>
      <c r="E8" s="3"/>
      <c r="F8" s="3"/>
      <c r="G8" s="3"/>
      <c r="H8" s="4"/>
      <c r="I8" s="5"/>
      <c r="J8" s="6"/>
      <c r="K8" s="3"/>
      <c r="L8" s="6"/>
      <c r="M8" s="6" t="str">
        <f>IF(OR(K8="",K8="Pending"),"",L8-J8)</f>
        <v> </v>
      </c>
      <c r="N8" s="6" t="str">
        <f>IF(M8="","",'Summary'!$B$4+SUM($M$2:M8))</f>
        <v> </v>
      </c>
    </row>
    <row r="9" spans="1:14">
      <c r="A9" s="2"/>
      <c r="B9" s="3"/>
      <c r="C9" s="3"/>
      <c r="D9" s="3"/>
      <c r="E9" s="3"/>
      <c r="F9" s="3"/>
      <c r="G9" s="3"/>
      <c r="H9" s="4"/>
      <c r="I9" s="5"/>
      <c r="J9" s="6"/>
      <c r="K9" s="3"/>
      <c r="L9" s="6"/>
      <c r="M9" s="6" t="str">
        <f>IF(OR(K9="",K9="Pending"),"",L9-J9)</f>
        <v> </v>
      </c>
      <c r="N9" s="6" t="str">
        <f>IF(M9="","",'Summary'!$B$4+SUM($M$2:M9))</f>
        <v> </v>
      </c>
    </row>
    <row r="10" spans="1:14">
      <c r="A10" s="2"/>
      <c r="B10" s="3"/>
      <c r="C10" s="3"/>
      <c r="D10" s="3"/>
      <c r="E10" s="3"/>
      <c r="F10" s="3"/>
      <c r="G10" s="3"/>
      <c r="H10" s="4"/>
      <c r="I10" s="5"/>
      <c r="J10" s="6"/>
      <c r="K10" s="3"/>
      <c r="L10" s="6"/>
      <c r="M10" s="6" t="str">
        <f>IF(OR(K10="",K10="Pending"),"",L10-J10)</f>
        <v> </v>
      </c>
      <c r="N10" s="6" t="str">
        <f>IF(M10="","",'Summary'!$B$4+SUM($M$2:M10))</f>
        <v> </v>
      </c>
    </row>
    <row r="11" spans="1:14">
      <c r="A11" s="2"/>
      <c r="B11" s="3"/>
      <c r="C11" s="3"/>
      <c r="D11" s="3"/>
      <c r="E11" s="3"/>
      <c r="F11" s="3"/>
      <c r="G11" s="3"/>
      <c r="H11" s="4"/>
      <c r="I11" s="5"/>
      <c r="J11" s="6"/>
      <c r="K11" s="3"/>
      <c r="L11" s="6"/>
      <c r="M11" s="6" t="str">
        <f>IF(OR(K11="",K11="Pending"),"",L11-J11)</f>
        <v> </v>
      </c>
      <c r="N11" s="6" t="str">
        <f>IF(M11="","",'Summary'!$B$4+SUM($M$2:M11))</f>
        <v> </v>
      </c>
    </row>
    <row r="12" spans="1:14">
      <c r="A12" s="2"/>
      <c r="B12" s="3"/>
      <c r="C12" s="3"/>
      <c r="D12" s="3"/>
      <c r="E12" s="3"/>
      <c r="F12" s="3"/>
      <c r="G12" s="3"/>
      <c r="H12" s="4"/>
      <c r="I12" s="5"/>
      <c r="J12" s="6"/>
      <c r="K12" s="3"/>
      <c r="L12" s="6"/>
      <c r="M12" s="6" t="str">
        <f>IF(OR(K12="",K12="Pending"),"",L12-J12)</f>
        <v> </v>
      </c>
      <c r="N12" s="6" t="str">
        <f>IF(M12="","",'Summary'!$B$4+SUM($M$2:M12))</f>
        <v> </v>
      </c>
    </row>
    <row r="13" spans="1:14">
      <c r="A13" s="2"/>
      <c r="B13" s="3"/>
      <c r="C13" s="3"/>
      <c r="D13" s="3"/>
      <c r="E13" s="3"/>
      <c r="F13" s="3"/>
      <c r="G13" s="3"/>
      <c r="H13" s="4"/>
      <c r="I13" s="5"/>
      <c r="J13" s="6"/>
      <c r="K13" s="3"/>
      <c r="L13" s="6"/>
      <c r="M13" s="6" t="str">
        <f>IF(OR(K13="",K13="Pending"),"",L13-J13)</f>
        <v> </v>
      </c>
      <c r="N13" s="6" t="str">
        <f>IF(M13="","",'Summary'!$B$4+SUM($M$2:M13))</f>
        <v> </v>
      </c>
    </row>
    <row r="14" spans="1:14">
      <c r="A14" s="2"/>
      <c r="B14" s="3"/>
      <c r="C14" s="3"/>
      <c r="D14" s="3"/>
      <c r="E14" s="3"/>
      <c r="F14" s="3"/>
      <c r="G14" s="3"/>
      <c r="H14" s="4"/>
      <c r="I14" s="5"/>
      <c r="J14" s="6"/>
      <c r="K14" s="3"/>
      <c r="L14" s="6"/>
      <c r="M14" s="6" t="str">
        <f>IF(OR(K14="",K14="Pending"),"",L14-J14)</f>
        <v> </v>
      </c>
      <c r="N14" s="6" t="str">
        <f>IF(M14="","",'Summary'!$B$4+SUM($M$2:M14))</f>
        <v> </v>
      </c>
    </row>
    <row r="15" spans="1:14">
      <c r="A15" s="2"/>
      <c r="B15" s="3"/>
      <c r="C15" s="3"/>
      <c r="D15" s="3"/>
      <c r="E15" s="3"/>
      <c r="F15" s="3"/>
      <c r="G15" s="3"/>
      <c r="H15" s="4"/>
      <c r="I15" s="5"/>
      <c r="J15" s="6"/>
      <c r="K15" s="3"/>
      <c r="L15" s="6"/>
      <c r="M15" s="6" t="str">
        <f>IF(OR(K15="",K15="Pending"),"",L15-J15)</f>
        <v> </v>
      </c>
      <c r="N15" s="6" t="str">
        <f>IF(M15="","",'Summary'!$B$4+SUM($M$2:M15))</f>
        <v> </v>
      </c>
    </row>
    <row r="16" spans="1:14">
      <c r="A16" s="2"/>
      <c r="B16" s="3"/>
      <c r="C16" s="3"/>
      <c r="D16" s="3"/>
      <c r="E16" s="3"/>
      <c r="F16" s="3"/>
      <c r="G16" s="3"/>
      <c r="H16" s="4"/>
      <c r="I16" s="5"/>
      <c r="J16" s="6"/>
      <c r="K16" s="3"/>
      <c r="L16" s="6"/>
      <c r="M16" s="6" t="str">
        <f>IF(OR(K16="",K16="Pending"),"",L16-J16)</f>
        <v> </v>
      </c>
      <c r="N16" s="6" t="str">
        <f>IF(M16="","",'Summary'!$B$4+SUM($M$2:M16))</f>
        <v> </v>
      </c>
    </row>
    <row r="17" spans="1:14">
      <c r="A17" s="2"/>
      <c r="B17" s="3"/>
      <c r="C17" s="3"/>
      <c r="D17" s="3"/>
      <c r="E17" s="3"/>
      <c r="F17" s="3"/>
      <c r="G17" s="3"/>
      <c r="H17" s="4"/>
      <c r="I17" s="5"/>
      <c r="J17" s="6"/>
      <c r="K17" s="3"/>
      <c r="L17" s="6"/>
      <c r="M17" s="6" t="str">
        <f>IF(OR(K17="",K17="Pending"),"",L17-J17)</f>
        <v> </v>
      </c>
      <c r="N17" s="6" t="str">
        <f>IF(M17="","",'Summary'!$B$4+SUM($M$2:M17))</f>
        <v> </v>
      </c>
    </row>
    <row r="18" spans="1:14">
      <c r="A18" s="2"/>
      <c r="B18" s="3"/>
      <c r="C18" s="3"/>
      <c r="D18" s="3"/>
      <c r="E18" s="3"/>
      <c r="F18" s="3"/>
      <c r="G18" s="3"/>
      <c r="H18" s="4"/>
      <c r="I18" s="5"/>
      <c r="J18" s="6"/>
      <c r="K18" s="3"/>
      <c r="L18" s="6"/>
      <c r="M18" s="6" t="str">
        <f>IF(OR(K18="",K18="Pending"),"",L18-J18)</f>
        <v> </v>
      </c>
      <c r="N18" s="6" t="str">
        <f>IF(M18="","",'Summary'!$B$4+SUM($M$2:M18))</f>
        <v> </v>
      </c>
    </row>
    <row r="19" spans="1:14">
      <c r="A19" s="2"/>
      <c r="B19" s="3"/>
      <c r="C19" s="3"/>
      <c r="D19" s="3"/>
      <c r="E19" s="3"/>
      <c r="F19" s="3"/>
      <c r="G19" s="3"/>
      <c r="H19" s="4"/>
      <c r="I19" s="5"/>
      <c r="J19" s="6"/>
      <c r="K19" s="3"/>
      <c r="L19" s="6"/>
      <c r="M19" s="6" t="str">
        <f>IF(OR(K19="",K19="Pending"),"",L19-J19)</f>
        <v> </v>
      </c>
      <c r="N19" s="6" t="str">
        <f>IF(M19="","",'Summary'!$B$4+SUM($M$2:M19))</f>
        <v> </v>
      </c>
    </row>
    <row r="20" spans="1:14">
      <c r="A20" s="2"/>
      <c r="B20" s="3"/>
      <c r="C20" s="3"/>
      <c r="D20" s="3"/>
      <c r="E20" s="3"/>
      <c r="F20" s="3"/>
      <c r="G20" s="3"/>
      <c r="H20" s="4"/>
      <c r="I20" s="5"/>
      <c r="J20" s="6"/>
      <c r="K20" s="3"/>
      <c r="L20" s="6"/>
      <c r="M20" s="6" t="str">
        <f>IF(OR(K20="",K20="Pending"),"",L20-J20)</f>
        <v> </v>
      </c>
      <c r="N20" s="6" t="str">
        <f>IF(M20="","",'Summary'!$B$4+SUM($M$2:M20))</f>
        <v> </v>
      </c>
    </row>
    <row r="21" spans="1:14">
      <c r="A21" s="2"/>
      <c r="B21" s="3"/>
      <c r="C21" s="3"/>
      <c r="D21" s="3"/>
      <c r="E21" s="3"/>
      <c r="F21" s="3"/>
      <c r="G21" s="3"/>
      <c r="H21" s="4"/>
      <c r="I21" s="5"/>
      <c r="J21" s="6"/>
      <c r="K21" s="3"/>
      <c r="L21" s="6"/>
      <c r="M21" s="6" t="str">
        <f>IF(OR(K21="",K21="Pending"),"",L21-J21)</f>
        <v> </v>
      </c>
      <c r="N21" s="6" t="str">
        <f>IF(M21="","",'Summary'!$B$4+SUM($M$2:M21))</f>
        <v> </v>
      </c>
    </row>
    <row r="22" spans="1:14">
      <c r="A22" s="2"/>
      <c r="B22" s="3"/>
      <c r="C22" s="3"/>
      <c r="D22" s="3"/>
      <c r="E22" s="3"/>
      <c r="F22" s="3"/>
      <c r="G22" s="3"/>
      <c r="H22" s="4"/>
      <c r="I22" s="5"/>
      <c r="J22" s="6"/>
      <c r="K22" s="3"/>
      <c r="L22" s="6"/>
      <c r="M22" s="6" t="str">
        <f>IF(OR(K22="",K22="Pending"),"",L22-J22)</f>
        <v> </v>
      </c>
      <c r="N22" s="6" t="str">
        <f>IF(M22="","",'Summary'!$B$4+SUM($M$2:M22))</f>
        <v> </v>
      </c>
    </row>
    <row r="23" spans="1:14">
      <c r="A23" s="2"/>
      <c r="B23" s="3"/>
      <c r="C23" s="3"/>
      <c r="D23" s="3"/>
      <c r="E23" s="3"/>
      <c r="F23" s="3"/>
      <c r="G23" s="3"/>
      <c r="H23" s="4"/>
      <c r="I23" s="5"/>
      <c r="J23" s="6"/>
      <c r="K23" s="3"/>
      <c r="L23" s="6"/>
      <c r="M23" s="6" t="str">
        <f>IF(OR(K23="",K23="Pending"),"",L23-J23)</f>
        <v> </v>
      </c>
      <c r="N23" s="6" t="str">
        <f>IF(M23="","",'Summary'!$B$4+SUM($M$2:M23))</f>
        <v> </v>
      </c>
    </row>
    <row r="24" spans="1:14">
      <c r="A24" s="2"/>
      <c r="B24" s="3"/>
      <c r="C24" s="3"/>
      <c r="D24" s="3"/>
      <c r="E24" s="3"/>
      <c r="F24" s="3"/>
      <c r="G24" s="3"/>
      <c r="H24" s="4"/>
      <c r="I24" s="5"/>
      <c r="J24" s="6"/>
      <c r="K24" s="3"/>
      <c r="L24" s="6"/>
      <c r="M24" s="6" t="str">
        <f>IF(OR(K24="",K24="Pending"),"",L24-J24)</f>
        <v> </v>
      </c>
      <c r="N24" s="6" t="str">
        <f>IF(M24="","",'Summary'!$B$4+SUM($M$2:M24))</f>
        <v> </v>
      </c>
    </row>
    <row r="25" spans="1:14">
      <c r="A25" s="2"/>
      <c r="B25" s="3"/>
      <c r="C25" s="3"/>
      <c r="D25" s="3"/>
      <c r="E25" s="3"/>
      <c r="F25" s="3"/>
      <c r="G25" s="3"/>
      <c r="H25" s="4"/>
      <c r="I25" s="5"/>
      <c r="J25" s="6"/>
      <c r="K25" s="3"/>
      <c r="L25" s="6"/>
      <c r="M25" s="6" t="str">
        <f>IF(OR(K25="",K25="Pending"),"",L25-J25)</f>
        <v> </v>
      </c>
      <c r="N25" s="6" t="str">
        <f>IF(M25="","",'Summary'!$B$4+SUM($M$2:M25))</f>
        <v> </v>
      </c>
    </row>
    <row r="26" spans="1:14">
      <c r="A26" s="2"/>
      <c r="B26" s="3"/>
      <c r="C26" s="3"/>
      <c r="D26" s="3"/>
      <c r="E26" s="3"/>
      <c r="F26" s="3"/>
      <c r="G26" s="3"/>
      <c r="H26" s="4"/>
      <c r="I26" s="5"/>
      <c r="J26" s="6"/>
      <c r="K26" s="3"/>
      <c r="L26" s="6"/>
      <c r="M26" s="6" t="str">
        <f>IF(OR(K26="",K26="Pending"),"",L26-J26)</f>
        <v> </v>
      </c>
      <c r="N26" s="6" t="str">
        <f>IF(M26="","",'Summary'!$B$4+SUM($M$2:M26))</f>
        <v> </v>
      </c>
    </row>
    <row r="27" spans="1:14">
      <c r="A27" s="2"/>
      <c r="B27" s="3"/>
      <c r="C27" s="3"/>
      <c r="D27" s="3"/>
      <c r="E27" s="3"/>
      <c r="F27" s="3"/>
      <c r="G27" s="3"/>
      <c r="H27" s="4"/>
      <c r="I27" s="5"/>
      <c r="J27" s="6"/>
      <c r="K27" s="3"/>
      <c r="L27" s="6"/>
      <c r="M27" s="6" t="str">
        <f>IF(OR(K27="",K27="Pending"),"",L27-J27)</f>
        <v> </v>
      </c>
      <c r="N27" s="6" t="str">
        <f>IF(M27="","",'Summary'!$B$4+SUM($M$2:M27))</f>
        <v> </v>
      </c>
    </row>
    <row r="28" spans="1:14">
      <c r="A28" s="2"/>
      <c r="B28" s="3"/>
      <c r="C28" s="3"/>
      <c r="D28" s="3"/>
      <c r="E28" s="3"/>
      <c r="F28" s="3"/>
      <c r="G28" s="3"/>
      <c r="H28" s="4"/>
      <c r="I28" s="5"/>
      <c r="J28" s="6"/>
      <c r="K28" s="3"/>
      <c r="L28" s="6"/>
      <c r="M28" s="6" t="str">
        <f>IF(OR(K28="",K28="Pending"),"",L28-J28)</f>
        <v> </v>
      </c>
      <c r="N28" s="6" t="str">
        <f>IF(M28="","",'Summary'!$B$4+SUM($M$2:M28))</f>
        <v> </v>
      </c>
    </row>
    <row r="29" spans="1:14">
      <c r="A29" s="2"/>
      <c r="B29" s="3"/>
      <c r="C29" s="3"/>
      <c r="D29" s="3"/>
      <c r="E29" s="3"/>
      <c r="F29" s="3"/>
      <c r="G29" s="3"/>
      <c r="H29" s="4"/>
      <c r="I29" s="5"/>
      <c r="J29" s="6"/>
      <c r="K29" s="3"/>
      <c r="L29" s="6"/>
      <c r="M29" s="6" t="str">
        <f>IF(OR(K29="",K29="Pending"),"",L29-J29)</f>
        <v> </v>
      </c>
      <c r="N29" s="6" t="str">
        <f>IF(M29="","",'Summary'!$B$4+SUM($M$2:M29))</f>
        <v> </v>
      </c>
    </row>
    <row r="30" spans="1:14">
      <c r="A30" s="2"/>
      <c r="B30" s="3"/>
      <c r="C30" s="3"/>
      <c r="D30" s="3"/>
      <c r="E30" s="3"/>
      <c r="F30" s="3"/>
      <c r="G30" s="3"/>
      <c r="H30" s="4"/>
      <c r="I30" s="5"/>
      <c r="J30" s="6"/>
      <c r="K30" s="3"/>
      <c r="L30" s="6"/>
      <c r="M30" s="6" t="str">
        <f>IF(OR(K30="",K30="Pending"),"",L30-J30)</f>
        <v> </v>
      </c>
      <c r="N30" s="6" t="str">
        <f>IF(M30="","",'Summary'!$B$4+SUM($M$2:M30))</f>
        <v> </v>
      </c>
    </row>
    <row r="31" spans="1:14">
      <c r="A31" s="2"/>
      <c r="B31" s="3"/>
      <c r="C31" s="3"/>
      <c r="D31" s="3"/>
      <c r="E31" s="3"/>
      <c r="F31" s="3"/>
      <c r="G31" s="3"/>
      <c r="H31" s="4"/>
      <c r="I31" s="5"/>
      <c r="J31" s="6"/>
      <c r="K31" s="3"/>
      <c r="L31" s="6"/>
      <c r="M31" s="6" t="str">
        <f>IF(OR(K31="",K31="Pending"),"",L31-J31)</f>
        <v> </v>
      </c>
      <c r="N31" s="6" t="str">
        <f>IF(M31="","",'Summary'!$B$4+SUM($M$2:M31))</f>
        <v> </v>
      </c>
    </row>
    <row r="32" spans="1:14">
      <c r="A32" s="2"/>
      <c r="B32" s="3"/>
      <c r="C32" s="3"/>
      <c r="D32" s="3"/>
      <c r="E32" s="3"/>
      <c r="F32" s="3"/>
      <c r="G32" s="3"/>
      <c r="H32" s="4"/>
      <c r="I32" s="5"/>
      <c r="J32" s="6"/>
      <c r="K32" s="3"/>
      <c r="L32" s="6"/>
      <c r="M32" s="6" t="str">
        <f>IF(OR(K32="",K32="Pending"),"",L32-J32)</f>
        <v> </v>
      </c>
      <c r="N32" s="6" t="str">
        <f>IF(M32="","",'Summary'!$B$4+SUM($M$2:M32))</f>
        <v> </v>
      </c>
    </row>
    <row r="33" spans="1:14">
      <c r="A33" s="2"/>
      <c r="B33" s="3"/>
      <c r="C33" s="3"/>
      <c r="D33" s="3"/>
      <c r="E33" s="3"/>
      <c r="F33" s="3"/>
      <c r="G33" s="3"/>
      <c r="H33" s="4"/>
      <c r="I33" s="5"/>
      <c r="J33" s="6"/>
      <c r="K33" s="3"/>
      <c r="L33" s="6"/>
      <c r="M33" s="6" t="str">
        <f>IF(OR(K33="",K33="Pending"),"",L33-J33)</f>
        <v> </v>
      </c>
      <c r="N33" s="6" t="str">
        <f>IF(M33="","",'Summary'!$B$4+SUM($M$2:M33))</f>
        <v> </v>
      </c>
    </row>
    <row r="34" spans="1:14">
      <c r="A34" s="2"/>
      <c r="B34" s="3"/>
      <c r="C34" s="3"/>
      <c r="D34" s="3"/>
      <c r="E34" s="3"/>
      <c r="F34" s="3"/>
      <c r="G34" s="3"/>
      <c r="H34" s="4"/>
      <c r="I34" s="5"/>
      <c r="J34" s="6"/>
      <c r="K34" s="3"/>
      <c r="L34" s="6"/>
      <c r="M34" s="6" t="str">
        <f>IF(OR(K34="",K34="Pending"),"",L34-J34)</f>
        <v> </v>
      </c>
      <c r="N34" s="6" t="str">
        <f>IF(M34="","",'Summary'!$B$4+SUM($M$2:M34))</f>
        <v> </v>
      </c>
    </row>
    <row r="35" spans="1:14">
      <c r="A35" s="2"/>
      <c r="B35" s="3"/>
      <c r="C35" s="3"/>
      <c r="D35" s="3"/>
      <c r="E35" s="3"/>
      <c r="F35" s="3"/>
      <c r="G35" s="3"/>
      <c r="H35" s="4"/>
      <c r="I35" s="5"/>
      <c r="J35" s="6"/>
      <c r="K35" s="3"/>
      <c r="L35" s="6"/>
      <c r="M35" s="6" t="str">
        <f>IF(OR(K35="",K35="Pending"),"",L35-J35)</f>
        <v> </v>
      </c>
      <c r="N35" s="6" t="str">
        <f>IF(M35="","",'Summary'!$B$4+SUM($M$2:M35))</f>
        <v> </v>
      </c>
    </row>
    <row r="36" spans="1:14">
      <c r="A36" s="2"/>
      <c r="B36" s="3"/>
      <c r="C36" s="3"/>
      <c r="D36" s="3"/>
      <c r="E36" s="3"/>
      <c r="F36" s="3"/>
      <c r="G36" s="3"/>
      <c r="H36" s="4"/>
      <c r="I36" s="5"/>
      <c r="J36" s="6"/>
      <c r="K36" s="3"/>
      <c r="L36" s="6"/>
      <c r="M36" s="6" t="str">
        <f>IF(OR(K36="",K36="Pending"),"",L36-J36)</f>
        <v> </v>
      </c>
      <c r="N36" s="6" t="str">
        <f>IF(M36="","",'Summary'!$B$4+SUM($M$2:M36))</f>
        <v> </v>
      </c>
    </row>
    <row r="37" spans="1:14">
      <c r="A37" s="2"/>
      <c r="B37" s="3"/>
      <c r="C37" s="3"/>
      <c r="D37" s="3"/>
      <c r="E37" s="3"/>
      <c r="F37" s="3"/>
      <c r="G37" s="3"/>
      <c r="H37" s="4"/>
      <c r="I37" s="5"/>
      <c r="J37" s="6"/>
      <c r="K37" s="3"/>
      <c r="L37" s="6"/>
      <c r="M37" s="6" t="str">
        <f>IF(OR(K37="",K37="Pending"),"",L37-J37)</f>
        <v> </v>
      </c>
      <c r="N37" s="6" t="str">
        <f>IF(M37="","",'Summary'!$B$4+SUM($M$2:M37))</f>
        <v> </v>
      </c>
    </row>
    <row r="38" spans="1:14">
      <c r="A38" s="2"/>
      <c r="B38" s="3"/>
      <c r="C38" s="3"/>
      <c r="D38" s="3"/>
      <c r="E38" s="3"/>
      <c r="F38" s="3"/>
      <c r="G38" s="3"/>
      <c r="H38" s="4"/>
      <c r="I38" s="5"/>
      <c r="J38" s="6"/>
      <c r="K38" s="3"/>
      <c r="L38" s="6"/>
      <c r="M38" s="6" t="str">
        <f>IF(OR(K38="",K38="Pending"),"",L38-J38)</f>
        <v> </v>
      </c>
      <c r="N38" s="6" t="str">
        <f>IF(M38="","",'Summary'!$B$4+SUM($M$2:M38))</f>
        <v> </v>
      </c>
    </row>
    <row r="39" spans="1:14">
      <c r="A39" s="2"/>
      <c r="B39" s="3"/>
      <c r="C39" s="3"/>
      <c r="D39" s="3"/>
      <c r="E39" s="3"/>
      <c r="F39" s="3"/>
      <c r="G39" s="3"/>
      <c r="H39" s="4"/>
      <c r="I39" s="5"/>
      <c r="J39" s="6"/>
      <c r="K39" s="3"/>
      <c r="L39" s="6"/>
      <c r="M39" s="6" t="str">
        <f>IF(OR(K39="",K39="Pending"),"",L39-J39)</f>
        <v> </v>
      </c>
      <c r="N39" s="6" t="str">
        <f>IF(M39="","",'Summary'!$B$4+SUM($M$2:M39))</f>
        <v> </v>
      </c>
    </row>
    <row r="40" spans="1:14">
      <c r="A40" s="2"/>
      <c r="B40" s="3"/>
      <c r="C40" s="3"/>
      <c r="D40" s="3"/>
      <c r="E40" s="3"/>
      <c r="F40" s="3"/>
      <c r="G40" s="3"/>
      <c r="H40" s="4"/>
      <c r="I40" s="5"/>
      <c r="J40" s="6"/>
      <c r="K40" s="3"/>
      <c r="L40" s="6"/>
      <c r="M40" s="6" t="str">
        <f>IF(OR(K40="",K40="Pending"),"",L40-J40)</f>
        <v> </v>
      </c>
      <c r="N40" s="6" t="str">
        <f>IF(M40="","",'Summary'!$B$4+SUM($M$2:M40))</f>
        <v> </v>
      </c>
    </row>
    <row r="41" spans="1:14">
      <c r="A41" s="2"/>
      <c r="B41" s="3"/>
      <c r="C41" s="3"/>
      <c r="D41" s="3"/>
      <c r="E41" s="3"/>
      <c r="F41" s="3"/>
      <c r="G41" s="3"/>
      <c r="H41" s="4"/>
      <c r="I41" s="5"/>
      <c r="J41" s="6"/>
      <c r="K41" s="3"/>
      <c r="L41" s="6"/>
      <c r="M41" s="6" t="str">
        <f>IF(OR(K41="",K41="Pending"),"",L41-J41)</f>
        <v> </v>
      </c>
      <c r="N41" s="6" t="str">
        <f>IF(M41="","",'Summary'!$B$4+SUM($M$2:M41))</f>
        <v> </v>
      </c>
    </row>
    <row r="42" spans="1:14">
      <c r="A42" s="2"/>
      <c r="B42" s="3"/>
      <c r="C42" s="3"/>
      <c r="D42" s="3"/>
      <c r="E42" s="3"/>
      <c r="F42" s="3"/>
      <c r="G42" s="3"/>
      <c r="H42" s="4"/>
      <c r="I42" s="5"/>
      <c r="J42" s="6"/>
      <c r="K42" s="3"/>
      <c r="L42" s="6"/>
      <c r="M42" s="6" t="str">
        <f>IF(OR(K42="",K42="Pending"),"",L42-J42)</f>
        <v> </v>
      </c>
      <c r="N42" s="6" t="str">
        <f>IF(M42="","",'Summary'!$B$4+SUM($M$2:M42))</f>
        <v> </v>
      </c>
    </row>
    <row r="43" spans="1:14">
      <c r="A43" s="2"/>
      <c r="B43" s="3"/>
      <c r="C43" s="3"/>
      <c r="D43" s="3"/>
      <c r="E43" s="3"/>
      <c r="F43" s="3"/>
      <c r="G43" s="3"/>
      <c r="H43" s="4"/>
      <c r="I43" s="5"/>
      <c r="J43" s="6"/>
      <c r="K43" s="3"/>
      <c r="L43" s="6"/>
      <c r="M43" s="6" t="str">
        <f>IF(OR(K43="",K43="Pending"),"",L43-J43)</f>
        <v> </v>
      </c>
      <c r="N43" s="6" t="str">
        <f>IF(M43="","",'Summary'!$B$4+SUM($M$2:M43))</f>
        <v> </v>
      </c>
    </row>
    <row r="44" spans="1:14">
      <c r="A44" s="2"/>
      <c r="B44" s="3"/>
      <c r="C44" s="3"/>
      <c r="D44" s="3"/>
      <c r="E44" s="3"/>
      <c r="F44" s="3"/>
      <c r="G44" s="3"/>
      <c r="H44" s="4"/>
      <c r="I44" s="5"/>
      <c r="J44" s="6"/>
      <c r="K44" s="3"/>
      <c r="L44" s="6"/>
      <c r="M44" s="6" t="str">
        <f>IF(OR(K44="",K44="Pending"),"",L44-J44)</f>
        <v> </v>
      </c>
      <c r="N44" s="6" t="str">
        <f>IF(M44="","",'Summary'!$B$4+SUM($M$2:M44))</f>
        <v> </v>
      </c>
    </row>
    <row r="45" spans="1:14">
      <c r="A45" s="2"/>
      <c r="B45" s="3"/>
      <c r="C45" s="3"/>
      <c r="D45" s="3"/>
      <c r="E45" s="3"/>
      <c r="F45" s="3"/>
      <c r="G45" s="3"/>
      <c r="H45" s="4"/>
      <c r="I45" s="5"/>
      <c r="J45" s="6"/>
      <c r="K45" s="3"/>
      <c r="L45" s="6"/>
      <c r="M45" s="6" t="str">
        <f>IF(OR(K45="",K45="Pending"),"",L45-J45)</f>
        <v> </v>
      </c>
      <c r="N45" s="6" t="str">
        <f>IF(M45="","",'Summary'!$B$4+SUM($M$2:M45))</f>
        <v> </v>
      </c>
    </row>
    <row r="46" spans="1:14">
      <c r="A46" s="2"/>
      <c r="B46" s="3"/>
      <c r="C46" s="3"/>
      <c r="D46" s="3"/>
      <c r="E46" s="3"/>
      <c r="F46" s="3"/>
      <c r="G46" s="3"/>
      <c r="H46" s="4"/>
      <c r="I46" s="5"/>
      <c r="J46" s="6"/>
      <c r="K46" s="3"/>
      <c r="L46" s="6"/>
      <c r="M46" s="6" t="str">
        <f>IF(OR(K46="",K46="Pending"),"",L46-J46)</f>
        <v> </v>
      </c>
      <c r="N46" s="6" t="str">
        <f>IF(M46="","",'Summary'!$B$4+SUM($M$2:M46))</f>
        <v> </v>
      </c>
    </row>
    <row r="47" spans="1:14">
      <c r="A47" s="2"/>
      <c r="B47" s="3"/>
      <c r="C47" s="3"/>
      <c r="D47" s="3"/>
      <c r="E47" s="3"/>
      <c r="F47" s="3"/>
      <c r="G47" s="3"/>
      <c r="H47" s="4"/>
      <c r="I47" s="5"/>
      <c r="J47" s="6"/>
      <c r="K47" s="3"/>
      <c r="L47" s="6"/>
      <c r="M47" s="6" t="str">
        <f>IF(OR(K47="",K47="Pending"),"",L47-J47)</f>
        <v> </v>
      </c>
      <c r="N47" s="6" t="str">
        <f>IF(M47="","",'Summary'!$B$4+SUM($M$2:M47))</f>
        <v> </v>
      </c>
    </row>
    <row r="48" spans="1:14">
      <c r="A48" s="2"/>
      <c r="B48" s="3"/>
      <c r="C48" s="3"/>
      <c r="D48" s="3"/>
      <c r="E48" s="3"/>
      <c r="F48" s="3"/>
      <c r="G48" s="3"/>
      <c r="H48" s="4"/>
      <c r="I48" s="5"/>
      <c r="J48" s="6"/>
      <c r="K48" s="3"/>
      <c r="L48" s="6"/>
      <c r="M48" s="6" t="str">
        <f>IF(OR(K48="",K48="Pending"),"",L48-J48)</f>
        <v> </v>
      </c>
      <c r="N48" s="6" t="str">
        <f>IF(M48="","",'Summary'!$B$4+SUM($M$2:M48))</f>
        <v> </v>
      </c>
    </row>
    <row r="49" spans="1:14">
      <c r="A49" s="2"/>
      <c r="B49" s="3"/>
      <c r="C49" s="3"/>
      <c r="D49" s="3"/>
      <c r="E49" s="3"/>
      <c r="F49" s="3"/>
      <c r="G49" s="3"/>
      <c r="H49" s="4"/>
      <c r="I49" s="5"/>
      <c r="J49" s="6"/>
      <c r="K49" s="3"/>
      <c r="L49" s="6"/>
      <c r="M49" s="6" t="str">
        <f>IF(OR(K49="",K49="Pending"),"",L49-J49)</f>
        <v> </v>
      </c>
      <c r="N49" s="6" t="str">
        <f>IF(M49="","",'Summary'!$B$4+SUM($M$2:M49))</f>
        <v> </v>
      </c>
    </row>
    <row r="50" spans="1:14">
      <c r="A50" s="2"/>
      <c r="B50" s="3"/>
      <c r="C50" s="3"/>
      <c r="D50" s="3"/>
      <c r="E50" s="3"/>
      <c r="F50" s="3"/>
      <c r="G50" s="3"/>
      <c r="H50" s="4"/>
      <c r="I50" s="5"/>
      <c r="J50" s="6"/>
      <c r="K50" s="3"/>
      <c r="L50" s="6"/>
      <c r="M50" s="6" t="str">
        <f>IF(OR(K50="",K50="Pending"),"",L50-J50)</f>
        <v> </v>
      </c>
      <c r="N50" s="6" t="str">
        <f>IF(M50="","",'Summary'!$B$4+SUM($M$2:M50))</f>
        <v> </v>
      </c>
    </row>
    <row r="51" spans="1:14">
      <c r="A51" s="2"/>
      <c r="B51" s="3"/>
      <c r="C51" s="3"/>
      <c r="D51" s="3"/>
      <c r="E51" s="3"/>
      <c r="F51" s="3"/>
      <c r="G51" s="3"/>
      <c r="H51" s="4"/>
      <c r="I51" s="5"/>
      <c r="J51" s="6"/>
      <c r="K51" s="3"/>
      <c r="L51" s="6"/>
      <c r="M51" s="6" t="str">
        <f>IF(OR(K51="",K51="Pending"),"",L51-J51)</f>
        <v> </v>
      </c>
      <c r="N51" s="6" t="str">
        <f>IF(M51="","",'Summary'!$B$4+SUM($M$2:M51))</f>
        <v> </v>
      </c>
    </row>
    <row r="52" spans="1:14">
      <c r="A52" s="2"/>
      <c r="B52" s="3"/>
      <c r="C52" s="3"/>
      <c r="D52" s="3"/>
      <c r="E52" s="3"/>
      <c r="F52" s="3"/>
      <c r="G52" s="3"/>
      <c r="H52" s="4"/>
      <c r="I52" s="5"/>
      <c r="J52" s="6"/>
      <c r="K52" s="3"/>
      <c r="L52" s="6"/>
      <c r="M52" s="6" t="str">
        <f>IF(OR(K52="",K52="Pending"),"",L52-J52)</f>
        <v> </v>
      </c>
      <c r="N52" s="6" t="str">
        <f>IF(M52="","",'Summary'!$B$4+SUM($M$2:M52))</f>
        <v> </v>
      </c>
    </row>
    <row r="53" spans="1:14">
      <c r="A53" s="2"/>
      <c r="B53" s="3"/>
      <c r="C53" s="3"/>
      <c r="D53" s="3"/>
      <c r="E53" s="3"/>
      <c r="F53" s="3"/>
      <c r="G53" s="3"/>
      <c r="H53" s="4"/>
      <c r="I53" s="5"/>
      <c r="J53" s="6"/>
      <c r="K53" s="3"/>
      <c r="L53" s="6"/>
      <c r="M53" s="6" t="str">
        <f>IF(OR(K53="",K53="Pending"),"",L53-J53)</f>
        <v> </v>
      </c>
      <c r="N53" s="6" t="str">
        <f>IF(M53="","",'Summary'!$B$4+SUM($M$2:M53))</f>
        <v> </v>
      </c>
    </row>
    <row r="54" spans="1:14">
      <c r="A54" s="2"/>
      <c r="B54" s="3"/>
      <c r="C54" s="3"/>
      <c r="D54" s="3"/>
      <c r="E54" s="3"/>
      <c r="F54" s="3"/>
      <c r="G54" s="3"/>
      <c r="H54" s="4"/>
      <c r="I54" s="5"/>
      <c r="J54" s="6"/>
      <c r="K54" s="3"/>
      <c r="L54" s="6"/>
      <c r="M54" s="6" t="str">
        <f>IF(OR(K54="",K54="Pending"),"",L54-J54)</f>
        <v> </v>
      </c>
      <c r="N54" s="6" t="str">
        <f>IF(M54="","",'Summary'!$B$4+SUM($M$2:M54))</f>
        <v> </v>
      </c>
    </row>
    <row r="55" spans="1:14">
      <c r="A55" s="2"/>
      <c r="B55" s="3"/>
      <c r="C55" s="3"/>
      <c r="D55" s="3"/>
      <c r="E55" s="3"/>
      <c r="F55" s="3"/>
      <c r="G55" s="3"/>
      <c r="H55" s="4"/>
      <c r="I55" s="5"/>
      <c r="J55" s="6"/>
      <c r="K55" s="3"/>
      <c r="L55" s="6"/>
      <c r="M55" s="6" t="str">
        <f>IF(OR(K55="",K55="Pending"),"",L55-J55)</f>
        <v> </v>
      </c>
      <c r="N55" s="6" t="str">
        <f>IF(M55="","",'Summary'!$B$4+SUM($M$2:M55))</f>
        <v> </v>
      </c>
    </row>
    <row r="56" spans="1:14">
      <c r="A56" s="2"/>
      <c r="B56" s="3"/>
      <c r="C56" s="3"/>
      <c r="D56" s="3"/>
      <c r="E56" s="3"/>
      <c r="F56" s="3"/>
      <c r="G56" s="3"/>
      <c r="H56" s="4"/>
      <c r="I56" s="5"/>
      <c r="J56" s="6"/>
      <c r="K56" s="3"/>
      <c r="L56" s="6"/>
      <c r="M56" s="6" t="str">
        <f>IF(OR(K56="",K56="Pending"),"",L56-J56)</f>
        <v> </v>
      </c>
      <c r="N56" s="6" t="str">
        <f>IF(M56="","",'Summary'!$B$4+SUM($M$2:M56))</f>
        <v> </v>
      </c>
    </row>
    <row r="57" spans="1:14">
      <c r="A57" s="2"/>
      <c r="B57" s="3"/>
      <c r="C57" s="3"/>
      <c r="D57" s="3"/>
      <c r="E57" s="3"/>
      <c r="F57" s="3"/>
      <c r="G57" s="3"/>
      <c r="H57" s="4"/>
      <c r="I57" s="5"/>
      <c r="J57" s="6"/>
      <c r="K57" s="3"/>
      <c r="L57" s="6"/>
      <c r="M57" s="6" t="str">
        <f>IF(OR(K57="",K57="Pending"),"",L57-J57)</f>
        <v> </v>
      </c>
      <c r="N57" s="6" t="str">
        <f>IF(M57="","",'Summary'!$B$4+SUM($M$2:M57))</f>
        <v> </v>
      </c>
    </row>
    <row r="58" spans="1:14">
      <c r="A58" s="2"/>
      <c r="B58" s="3"/>
      <c r="C58" s="3"/>
      <c r="D58" s="3"/>
      <c r="E58" s="3"/>
      <c r="F58" s="3"/>
      <c r="G58" s="3"/>
      <c r="H58" s="4"/>
      <c r="I58" s="5"/>
      <c r="J58" s="6"/>
      <c r="K58" s="3"/>
      <c r="L58" s="6"/>
      <c r="M58" s="6" t="str">
        <f>IF(OR(K58="",K58="Pending"),"",L58-J58)</f>
        <v> </v>
      </c>
      <c r="N58" s="6" t="str">
        <f>IF(M58="","",'Summary'!$B$4+SUM($M$2:M58))</f>
        <v> </v>
      </c>
    </row>
    <row r="59" spans="1:14">
      <c r="A59" s="2"/>
      <c r="B59" s="3"/>
      <c r="C59" s="3"/>
      <c r="D59" s="3"/>
      <c r="E59" s="3"/>
      <c r="F59" s="3"/>
      <c r="G59" s="3"/>
      <c r="H59" s="4"/>
      <c r="I59" s="5"/>
      <c r="J59" s="6"/>
      <c r="K59" s="3"/>
      <c r="L59" s="6"/>
      <c r="M59" s="6" t="str">
        <f>IF(OR(K59="",K59="Pending"),"",L59-J59)</f>
        <v> </v>
      </c>
      <c r="N59" s="6" t="str">
        <f>IF(M59="","",'Summary'!$B$4+SUM($M$2:M59))</f>
        <v> </v>
      </c>
    </row>
    <row r="60" spans="1:14">
      <c r="A60" s="2"/>
      <c r="B60" s="3"/>
      <c r="C60" s="3"/>
      <c r="D60" s="3"/>
      <c r="E60" s="3"/>
      <c r="F60" s="3"/>
      <c r="G60" s="3"/>
      <c r="H60" s="4"/>
      <c r="I60" s="5"/>
      <c r="J60" s="6"/>
      <c r="K60" s="3"/>
      <c r="L60" s="6"/>
      <c r="M60" s="6" t="str">
        <f>IF(OR(K60="",K60="Pending"),"",L60-J60)</f>
        <v> </v>
      </c>
      <c r="N60" s="6" t="str">
        <f>IF(M60="","",'Summary'!$B$4+SUM($M$2:M60))</f>
        <v> </v>
      </c>
    </row>
    <row r="61" spans="1:14">
      <c r="A61" s="2"/>
      <c r="B61" s="3"/>
      <c r="C61" s="3"/>
      <c r="D61" s="3"/>
      <c r="E61" s="3"/>
      <c r="F61" s="3"/>
      <c r="G61" s="3"/>
      <c r="H61" s="4"/>
      <c r="I61" s="5"/>
      <c r="J61" s="6"/>
      <c r="K61" s="3"/>
      <c r="L61" s="6"/>
      <c r="M61" s="6" t="str">
        <f>IF(OR(K61="",K61="Pending"),"",L61-J61)</f>
        <v> </v>
      </c>
      <c r="N61" s="6" t="str">
        <f>IF(M61="","",'Summary'!$B$4+SUM($M$2:M61))</f>
        <v> </v>
      </c>
    </row>
    <row r="62" spans="1:14">
      <c r="A62" s="2"/>
      <c r="B62" s="3"/>
      <c r="C62" s="3"/>
      <c r="D62" s="3"/>
      <c r="E62" s="3"/>
      <c r="F62" s="3"/>
      <c r="G62" s="3"/>
      <c r="H62" s="4"/>
      <c r="I62" s="5"/>
      <c r="J62" s="6"/>
      <c r="K62" s="3"/>
      <c r="L62" s="6"/>
      <c r="M62" s="6" t="str">
        <f>IF(OR(K62="",K62="Pending"),"",L62-J62)</f>
        <v> </v>
      </c>
      <c r="N62" s="6" t="str">
        <f>IF(M62="","",'Summary'!$B$4+SUM($M$2:M62))</f>
        <v> </v>
      </c>
    </row>
    <row r="63" spans="1:14">
      <c r="A63" s="2"/>
      <c r="B63" s="3"/>
      <c r="C63" s="3"/>
      <c r="D63" s="3"/>
      <c r="E63" s="3"/>
      <c r="F63" s="3"/>
      <c r="G63" s="3"/>
      <c r="H63" s="4"/>
      <c r="I63" s="5"/>
      <c r="J63" s="6"/>
      <c r="K63" s="3"/>
      <c r="L63" s="6"/>
      <c r="M63" s="6" t="str">
        <f>IF(OR(K63="",K63="Pending"),"",L63-J63)</f>
        <v> </v>
      </c>
      <c r="N63" s="6" t="str">
        <f>IF(M63="","",'Summary'!$B$4+SUM($M$2:M63))</f>
        <v> </v>
      </c>
    </row>
    <row r="64" spans="1:14">
      <c r="A64" s="2"/>
      <c r="B64" s="3"/>
      <c r="C64" s="3"/>
      <c r="D64" s="3"/>
      <c r="E64" s="3"/>
      <c r="F64" s="3"/>
      <c r="G64" s="3"/>
      <c r="H64" s="4"/>
      <c r="I64" s="5"/>
      <c r="J64" s="6"/>
      <c r="K64" s="3"/>
      <c r="L64" s="6"/>
      <c r="M64" s="6" t="str">
        <f>IF(OR(K64="",K64="Pending"),"",L64-J64)</f>
        <v> </v>
      </c>
      <c r="N64" s="6" t="str">
        <f>IF(M64="","",'Summary'!$B$4+SUM($M$2:M64))</f>
        <v> </v>
      </c>
    </row>
    <row r="65" spans="1:14">
      <c r="A65" s="2"/>
      <c r="B65" s="3"/>
      <c r="C65" s="3"/>
      <c r="D65" s="3"/>
      <c r="E65" s="3"/>
      <c r="F65" s="3"/>
      <c r="G65" s="3"/>
      <c r="H65" s="4"/>
      <c r="I65" s="5"/>
      <c r="J65" s="6"/>
      <c r="K65" s="3"/>
      <c r="L65" s="6"/>
      <c r="M65" s="6" t="str">
        <f>IF(OR(K65="",K65="Pending"),"",L65-J65)</f>
        <v> </v>
      </c>
      <c r="N65" s="6" t="str">
        <f>IF(M65="","",'Summary'!$B$4+SUM($M$2:M65))</f>
        <v> </v>
      </c>
    </row>
    <row r="66" spans="1:14">
      <c r="A66" s="2"/>
      <c r="B66" s="3"/>
      <c r="C66" s="3"/>
      <c r="D66" s="3"/>
      <c r="E66" s="3"/>
      <c r="F66" s="3"/>
      <c r="G66" s="3"/>
      <c r="H66" s="4"/>
      <c r="I66" s="5"/>
      <c r="J66" s="6"/>
      <c r="K66" s="3"/>
      <c r="L66" s="6"/>
      <c r="M66" s="6" t="str">
        <f>IF(OR(K66="",K66="Pending"),"",L66-J66)</f>
        <v> </v>
      </c>
      <c r="N66" s="6" t="str">
        <f>IF(M66="","",'Summary'!$B$4+SUM($M$2:M66))</f>
        <v> </v>
      </c>
    </row>
    <row r="67" spans="1:14">
      <c r="A67" s="2"/>
      <c r="B67" s="3"/>
      <c r="C67" s="3"/>
      <c r="D67" s="3"/>
      <c r="E67" s="3"/>
      <c r="F67" s="3"/>
      <c r="G67" s="3"/>
      <c r="H67" s="4"/>
      <c r="I67" s="5"/>
      <c r="J67" s="6"/>
      <c r="K67" s="3"/>
      <c r="L67" s="6"/>
      <c r="M67" s="6" t="str">
        <f>IF(OR(K67="",K67="Pending"),"",L67-J67)</f>
        <v> </v>
      </c>
      <c r="N67" s="6" t="str">
        <f>IF(M67="","",'Summary'!$B$4+SUM($M$2:M67))</f>
        <v> </v>
      </c>
    </row>
    <row r="68" spans="1:14">
      <c r="A68" s="2"/>
      <c r="B68" s="3"/>
      <c r="C68" s="3"/>
      <c r="D68" s="3"/>
      <c r="E68" s="3"/>
      <c r="F68" s="3"/>
      <c r="G68" s="3"/>
      <c r="H68" s="4"/>
      <c r="I68" s="5"/>
      <c r="J68" s="6"/>
      <c r="K68" s="3"/>
      <c r="L68" s="6"/>
      <c r="M68" s="6" t="str">
        <f>IF(OR(K68="",K68="Pending"),"",L68-J68)</f>
        <v> </v>
      </c>
      <c r="N68" s="6" t="str">
        <f>IF(M68="","",'Summary'!$B$4+SUM($M$2:M68))</f>
        <v> </v>
      </c>
    </row>
    <row r="69" spans="1:14">
      <c r="A69" s="2"/>
      <c r="B69" s="3"/>
      <c r="C69" s="3"/>
      <c r="D69" s="3"/>
      <c r="E69" s="3"/>
      <c r="F69" s="3"/>
      <c r="G69" s="3"/>
      <c r="H69" s="4"/>
      <c r="I69" s="5"/>
      <c r="J69" s="6"/>
      <c r="K69" s="3"/>
      <c r="L69" s="6"/>
      <c r="M69" s="6" t="str">
        <f>IF(OR(K69="",K69="Pending"),"",L69-J69)</f>
        <v> </v>
      </c>
      <c r="N69" s="6" t="str">
        <f>IF(M69="","",'Summary'!$B$4+SUM($M$2:M69))</f>
        <v> </v>
      </c>
    </row>
    <row r="70" spans="1:14">
      <c r="A70" s="2"/>
      <c r="B70" s="3"/>
      <c r="C70" s="3"/>
      <c r="D70" s="3"/>
      <c r="E70" s="3"/>
      <c r="F70" s="3"/>
      <c r="G70" s="3"/>
      <c r="H70" s="4"/>
      <c r="I70" s="5"/>
      <c r="J70" s="6"/>
      <c r="K70" s="3"/>
      <c r="L70" s="6"/>
      <c r="M70" s="6" t="str">
        <f>IF(OR(K70="",K70="Pending"),"",L70-J70)</f>
        <v> </v>
      </c>
      <c r="N70" s="6" t="str">
        <f>IF(M70="","",'Summary'!$B$4+SUM($M$2:M70))</f>
        <v> </v>
      </c>
    </row>
    <row r="71" spans="1:14">
      <c r="A71" s="2"/>
      <c r="B71" s="3"/>
      <c r="C71" s="3"/>
      <c r="D71" s="3"/>
      <c r="E71" s="3"/>
      <c r="F71" s="3"/>
      <c r="G71" s="3"/>
      <c r="H71" s="4"/>
      <c r="I71" s="5"/>
      <c r="J71" s="6"/>
      <c r="K71" s="3"/>
      <c r="L71" s="6"/>
      <c r="M71" s="6" t="str">
        <f>IF(OR(K71="",K71="Pending"),"",L71-J71)</f>
        <v> </v>
      </c>
      <c r="N71" s="6" t="str">
        <f>IF(M71="","",'Summary'!$B$4+SUM($M$2:M71))</f>
        <v> </v>
      </c>
    </row>
    <row r="72" spans="1:14">
      <c r="A72" s="2"/>
      <c r="B72" s="3"/>
      <c r="C72" s="3"/>
      <c r="D72" s="3"/>
      <c r="E72" s="3"/>
      <c r="F72" s="3"/>
      <c r="G72" s="3"/>
      <c r="H72" s="4"/>
      <c r="I72" s="5"/>
      <c r="J72" s="6"/>
      <c r="K72" s="3"/>
      <c r="L72" s="6"/>
      <c r="M72" s="6" t="str">
        <f>IF(OR(K72="",K72="Pending"),"",L72-J72)</f>
        <v> </v>
      </c>
      <c r="N72" s="6" t="str">
        <f>IF(M72="","",'Summary'!$B$4+SUM($M$2:M72))</f>
        <v> </v>
      </c>
    </row>
    <row r="73" spans="1:14">
      <c r="A73" s="2"/>
      <c r="B73" s="3"/>
      <c r="C73" s="3"/>
      <c r="D73" s="3"/>
      <c r="E73" s="3"/>
      <c r="F73" s="3"/>
      <c r="G73" s="3"/>
      <c r="H73" s="4"/>
      <c r="I73" s="5"/>
      <c r="J73" s="6"/>
      <c r="K73" s="3"/>
      <c r="L73" s="6"/>
      <c r="M73" s="6" t="str">
        <f>IF(OR(K73="",K73="Pending"),"",L73-J73)</f>
        <v> </v>
      </c>
      <c r="N73" s="6" t="str">
        <f>IF(M73="","",'Summary'!$B$4+SUM($M$2:M73))</f>
        <v> </v>
      </c>
    </row>
    <row r="74" spans="1:14">
      <c r="A74" s="2"/>
      <c r="B74" s="3"/>
      <c r="C74" s="3"/>
      <c r="D74" s="3"/>
      <c r="E74" s="3"/>
      <c r="F74" s="3"/>
      <c r="G74" s="3"/>
      <c r="H74" s="4"/>
      <c r="I74" s="5"/>
      <c r="J74" s="6"/>
      <c r="K74" s="3"/>
      <c r="L74" s="6"/>
      <c r="M74" s="6" t="str">
        <f>IF(OR(K74="",K74="Pending"),"",L74-J74)</f>
        <v> </v>
      </c>
      <c r="N74" s="6" t="str">
        <f>IF(M74="","",'Summary'!$B$4+SUM($M$2:M74))</f>
        <v> </v>
      </c>
    </row>
    <row r="75" spans="1:14">
      <c r="A75" s="2"/>
      <c r="B75" s="3"/>
      <c r="C75" s="3"/>
      <c r="D75" s="3"/>
      <c r="E75" s="3"/>
      <c r="F75" s="3"/>
      <c r="G75" s="3"/>
      <c r="H75" s="4"/>
      <c r="I75" s="5"/>
      <c r="J75" s="6"/>
      <c r="K75" s="3"/>
      <c r="L75" s="6"/>
      <c r="M75" s="6" t="str">
        <f>IF(OR(K75="",K75="Pending"),"",L75-J75)</f>
        <v> </v>
      </c>
      <c r="N75" s="6" t="str">
        <f>IF(M75="","",'Summary'!$B$4+SUM($M$2:M75))</f>
        <v> </v>
      </c>
    </row>
    <row r="76" spans="1:14">
      <c r="A76" s="2"/>
      <c r="B76" s="3"/>
      <c r="C76" s="3"/>
      <c r="D76" s="3"/>
      <c r="E76" s="3"/>
      <c r="F76" s="3"/>
      <c r="G76" s="3"/>
      <c r="H76" s="4"/>
      <c r="I76" s="5"/>
      <c r="J76" s="6"/>
      <c r="K76" s="3"/>
      <c r="L76" s="6"/>
      <c r="M76" s="6" t="str">
        <f>IF(OR(K76="",K76="Pending"),"",L76-J76)</f>
        <v> </v>
      </c>
      <c r="N76" s="6" t="str">
        <f>IF(M76="","",'Summary'!$B$4+SUM($M$2:M76))</f>
        <v> </v>
      </c>
    </row>
    <row r="77" spans="1:14">
      <c r="A77" s="2"/>
      <c r="B77" s="3"/>
      <c r="C77" s="3"/>
      <c r="D77" s="3"/>
      <c r="E77" s="3"/>
      <c r="F77" s="3"/>
      <c r="G77" s="3"/>
      <c r="H77" s="4"/>
      <c r="I77" s="5"/>
      <c r="J77" s="6"/>
      <c r="K77" s="3"/>
      <c r="L77" s="6"/>
      <c r="M77" s="6" t="str">
        <f>IF(OR(K77="",K77="Pending"),"",L77-J77)</f>
        <v> </v>
      </c>
      <c r="N77" s="6" t="str">
        <f>IF(M77="","",'Summary'!$B$4+SUM($M$2:M77))</f>
        <v> </v>
      </c>
    </row>
    <row r="78" spans="1:14">
      <c r="A78" s="2"/>
      <c r="B78" s="3"/>
      <c r="C78" s="3"/>
      <c r="D78" s="3"/>
      <c r="E78" s="3"/>
      <c r="F78" s="3"/>
      <c r="G78" s="3"/>
      <c r="H78" s="4"/>
      <c r="I78" s="5"/>
      <c r="J78" s="6"/>
      <c r="K78" s="3"/>
      <c r="L78" s="6"/>
      <c r="M78" s="6" t="str">
        <f>IF(OR(K78="",K78="Pending"),"",L78-J78)</f>
        <v> </v>
      </c>
      <c r="N78" s="6" t="str">
        <f>IF(M78="","",'Summary'!$B$4+SUM($M$2:M78))</f>
        <v> </v>
      </c>
    </row>
    <row r="79" spans="1:14">
      <c r="A79" s="2"/>
      <c r="B79" s="3"/>
      <c r="C79" s="3"/>
      <c r="D79" s="3"/>
      <c r="E79" s="3"/>
      <c r="F79" s="3"/>
      <c r="G79" s="3"/>
      <c r="H79" s="4"/>
      <c r="I79" s="5"/>
      <c r="J79" s="6"/>
      <c r="K79" s="3"/>
      <c r="L79" s="6"/>
      <c r="M79" s="6" t="str">
        <f>IF(OR(K79="",K79="Pending"),"",L79-J79)</f>
        <v> </v>
      </c>
      <c r="N79" s="6" t="str">
        <f>IF(M79="","",'Summary'!$B$4+SUM($M$2:M79))</f>
        <v> </v>
      </c>
    </row>
    <row r="80" spans="1:14">
      <c r="A80" s="2"/>
      <c r="B80" s="3"/>
      <c r="C80" s="3"/>
      <c r="D80" s="3"/>
      <c r="E80" s="3"/>
      <c r="F80" s="3"/>
      <c r="G80" s="3"/>
      <c r="H80" s="4"/>
      <c r="I80" s="5"/>
      <c r="J80" s="6"/>
      <c r="K80" s="3"/>
      <c r="L80" s="6"/>
      <c r="M80" s="6" t="str">
        <f>IF(OR(K80="",K80="Pending"),"",L80-J80)</f>
        <v> </v>
      </c>
      <c r="N80" s="6" t="str">
        <f>IF(M80="","",'Summary'!$B$4+SUM($M$2:M80))</f>
        <v> </v>
      </c>
    </row>
    <row r="81" spans="1:14">
      <c r="A81" s="2"/>
      <c r="B81" s="3"/>
      <c r="C81" s="3"/>
      <c r="D81" s="3"/>
      <c r="E81" s="3"/>
      <c r="F81" s="3"/>
      <c r="G81" s="3"/>
      <c r="H81" s="4"/>
      <c r="I81" s="5"/>
      <c r="J81" s="6"/>
      <c r="K81" s="3"/>
      <c r="L81" s="6"/>
      <c r="M81" s="6" t="str">
        <f>IF(OR(K81="",K81="Pending"),"",L81-J81)</f>
        <v> </v>
      </c>
      <c r="N81" s="6" t="str">
        <f>IF(M81="","",'Summary'!$B$4+SUM($M$2:M81))</f>
        <v> </v>
      </c>
    </row>
    <row r="82" spans="1:14">
      <c r="A82" s="2"/>
      <c r="B82" s="3"/>
      <c r="C82" s="3"/>
      <c r="D82" s="3"/>
      <c r="E82" s="3"/>
      <c r="F82" s="3"/>
      <c r="G82" s="3"/>
      <c r="H82" s="4"/>
      <c r="I82" s="5"/>
      <c r="J82" s="6"/>
      <c r="K82" s="3"/>
      <c r="L82" s="6"/>
      <c r="M82" s="6" t="str">
        <f>IF(OR(K82="",K82="Pending"),"",L82-J82)</f>
        <v> </v>
      </c>
      <c r="N82" s="6" t="str">
        <f>IF(M82="","",'Summary'!$B$4+SUM($M$2:M82))</f>
        <v> </v>
      </c>
    </row>
    <row r="83" spans="1:14">
      <c r="A83" s="2"/>
      <c r="B83" s="3"/>
      <c r="C83" s="3"/>
      <c r="D83" s="3"/>
      <c r="E83" s="3"/>
      <c r="F83" s="3"/>
      <c r="G83" s="3"/>
      <c r="H83" s="4"/>
      <c r="I83" s="5"/>
      <c r="J83" s="6"/>
      <c r="K83" s="3"/>
      <c r="L83" s="6"/>
      <c r="M83" s="6" t="str">
        <f>IF(OR(K83="",K83="Pending"),"",L83-J83)</f>
        <v> </v>
      </c>
      <c r="N83" s="6" t="str">
        <f>IF(M83="","",'Summary'!$B$4+SUM($M$2:M83))</f>
        <v> </v>
      </c>
    </row>
    <row r="84" spans="1:14">
      <c r="A84" s="2"/>
      <c r="B84" s="3"/>
      <c r="C84" s="3"/>
      <c r="D84" s="3"/>
      <c r="E84" s="3"/>
      <c r="F84" s="3"/>
      <c r="G84" s="3"/>
      <c r="H84" s="4"/>
      <c r="I84" s="5"/>
      <c r="J84" s="6"/>
      <c r="K84" s="3"/>
      <c r="L84" s="6"/>
      <c r="M84" s="6" t="str">
        <f>IF(OR(K84="",K84="Pending"),"",L84-J84)</f>
        <v> </v>
      </c>
      <c r="N84" s="6" t="str">
        <f>IF(M84="","",'Summary'!$B$4+SUM($M$2:M84))</f>
        <v> </v>
      </c>
    </row>
    <row r="85" spans="1:14">
      <c r="A85" s="2"/>
      <c r="B85" s="3"/>
      <c r="C85" s="3"/>
      <c r="D85" s="3"/>
      <c r="E85" s="3"/>
      <c r="F85" s="3"/>
      <c r="G85" s="3"/>
      <c r="H85" s="4"/>
      <c r="I85" s="5"/>
      <c r="J85" s="6"/>
      <c r="K85" s="3"/>
      <c r="L85" s="6"/>
      <c r="M85" s="6" t="str">
        <f>IF(OR(K85="",K85="Pending"),"",L85-J85)</f>
        <v> </v>
      </c>
      <c r="N85" s="6" t="str">
        <f>IF(M85="","",'Summary'!$B$4+SUM($M$2:M85))</f>
        <v> </v>
      </c>
    </row>
    <row r="86" spans="1:14">
      <c r="A86" s="2"/>
      <c r="B86" s="3"/>
      <c r="C86" s="3"/>
      <c r="D86" s="3"/>
      <c r="E86" s="3"/>
      <c r="F86" s="3"/>
      <c r="G86" s="3"/>
      <c r="H86" s="4"/>
      <c r="I86" s="5"/>
      <c r="J86" s="6"/>
      <c r="K86" s="3"/>
      <c r="L86" s="6"/>
      <c r="M86" s="6" t="str">
        <f>IF(OR(K86="",K86="Pending"),"",L86-J86)</f>
        <v> </v>
      </c>
      <c r="N86" s="6" t="str">
        <f>IF(M86="","",'Summary'!$B$4+SUM($M$2:M86))</f>
        <v> </v>
      </c>
    </row>
    <row r="87" spans="1:14">
      <c r="A87" s="2"/>
      <c r="B87" s="3"/>
      <c r="C87" s="3"/>
      <c r="D87" s="3"/>
      <c r="E87" s="3"/>
      <c r="F87" s="3"/>
      <c r="G87" s="3"/>
      <c r="H87" s="4"/>
      <c r="I87" s="5"/>
      <c r="J87" s="6"/>
      <c r="K87" s="3"/>
      <c r="L87" s="6"/>
      <c r="M87" s="6" t="str">
        <f>IF(OR(K87="",K87="Pending"),"",L87-J87)</f>
        <v> </v>
      </c>
      <c r="N87" s="6" t="str">
        <f>IF(M87="","",'Summary'!$B$4+SUM($M$2:M87))</f>
        <v> </v>
      </c>
    </row>
    <row r="88" spans="1:14">
      <c r="A88" s="2"/>
      <c r="B88" s="3"/>
      <c r="C88" s="3"/>
      <c r="D88" s="3"/>
      <c r="E88" s="3"/>
      <c r="F88" s="3"/>
      <c r="G88" s="3"/>
      <c r="H88" s="4"/>
      <c r="I88" s="5"/>
      <c r="J88" s="6"/>
      <c r="K88" s="3"/>
      <c r="L88" s="6"/>
      <c r="M88" s="6" t="str">
        <f>IF(OR(K88="",K88="Pending"),"",L88-J88)</f>
        <v> </v>
      </c>
      <c r="N88" s="6" t="str">
        <f>IF(M88="","",'Summary'!$B$4+SUM($M$2:M88))</f>
        <v> </v>
      </c>
    </row>
    <row r="89" spans="1:14">
      <c r="A89" s="2"/>
      <c r="B89" s="3"/>
      <c r="C89" s="3"/>
      <c r="D89" s="3"/>
      <c r="E89" s="3"/>
      <c r="F89" s="3"/>
      <c r="G89" s="3"/>
      <c r="H89" s="4"/>
      <c r="I89" s="5"/>
      <c r="J89" s="6"/>
      <c r="K89" s="3"/>
      <c r="L89" s="6"/>
      <c r="M89" s="6" t="str">
        <f>IF(OR(K89="",K89="Pending"),"",L89-J89)</f>
        <v> </v>
      </c>
      <c r="N89" s="6" t="str">
        <f>IF(M89="","",'Summary'!$B$4+SUM($M$2:M89))</f>
        <v> </v>
      </c>
    </row>
    <row r="90" spans="1:14">
      <c r="A90" s="2"/>
      <c r="B90" s="3"/>
      <c r="C90" s="3"/>
      <c r="D90" s="3"/>
      <c r="E90" s="3"/>
      <c r="F90" s="3"/>
      <c r="G90" s="3"/>
      <c r="H90" s="4"/>
      <c r="I90" s="5"/>
      <c r="J90" s="6"/>
      <c r="K90" s="3"/>
      <c r="L90" s="6"/>
      <c r="M90" s="6" t="str">
        <f>IF(OR(K90="",K90="Pending"),"",L90-J90)</f>
        <v> </v>
      </c>
      <c r="N90" s="6" t="str">
        <f>IF(M90="","",'Summary'!$B$4+SUM($M$2:M90))</f>
        <v> </v>
      </c>
    </row>
    <row r="91" spans="1:14">
      <c r="A91" s="2"/>
      <c r="B91" s="3"/>
      <c r="C91" s="3"/>
      <c r="D91" s="3"/>
      <c r="E91" s="3"/>
      <c r="F91" s="3"/>
      <c r="G91" s="3"/>
      <c r="H91" s="4"/>
      <c r="I91" s="5"/>
      <c r="J91" s="6"/>
      <c r="K91" s="3"/>
      <c r="L91" s="6"/>
      <c r="M91" s="6" t="str">
        <f>IF(OR(K91="",K91="Pending"),"",L91-J91)</f>
        <v> </v>
      </c>
      <c r="N91" s="6" t="str">
        <f>IF(M91="","",'Summary'!$B$4+SUM($M$2:M91))</f>
        <v> </v>
      </c>
    </row>
    <row r="92" spans="1:14">
      <c r="A92" s="2"/>
      <c r="B92" s="3"/>
      <c r="C92" s="3"/>
      <c r="D92" s="3"/>
      <c r="E92" s="3"/>
      <c r="F92" s="3"/>
      <c r="G92" s="3"/>
      <c r="H92" s="4"/>
      <c r="I92" s="5"/>
      <c r="J92" s="6"/>
      <c r="K92" s="3"/>
      <c r="L92" s="6"/>
      <c r="M92" s="6" t="str">
        <f>IF(OR(K92="",K92="Pending"),"",L92-J92)</f>
        <v> </v>
      </c>
      <c r="N92" s="6" t="str">
        <f>IF(M92="","",'Summary'!$B$4+SUM($M$2:M92))</f>
        <v> </v>
      </c>
    </row>
    <row r="93" spans="1:14">
      <c r="A93" s="2"/>
      <c r="B93" s="3"/>
      <c r="C93" s="3"/>
      <c r="D93" s="3"/>
      <c r="E93" s="3"/>
      <c r="F93" s="3"/>
      <c r="G93" s="3"/>
      <c r="H93" s="4"/>
      <c r="I93" s="5"/>
      <c r="J93" s="6"/>
      <c r="K93" s="3"/>
      <c r="L93" s="6"/>
      <c r="M93" s="6" t="str">
        <f>IF(OR(K93="",K93="Pending"),"",L93-J93)</f>
        <v> </v>
      </c>
      <c r="N93" s="6" t="str">
        <f>IF(M93="","",'Summary'!$B$4+SUM($M$2:M93))</f>
        <v> </v>
      </c>
    </row>
    <row r="94" spans="1:14">
      <c r="A94" s="2"/>
      <c r="B94" s="3"/>
      <c r="C94" s="3"/>
      <c r="D94" s="3"/>
      <c r="E94" s="3"/>
      <c r="F94" s="3"/>
      <c r="G94" s="3"/>
      <c r="H94" s="4"/>
      <c r="I94" s="5"/>
      <c r="J94" s="6"/>
      <c r="K94" s="3"/>
      <c r="L94" s="6"/>
      <c r="M94" s="6" t="str">
        <f>IF(OR(K94="",K94="Pending"),"",L94-J94)</f>
        <v> </v>
      </c>
      <c r="N94" s="6" t="str">
        <f>IF(M94="","",'Summary'!$B$4+SUM($M$2:M94))</f>
        <v> </v>
      </c>
    </row>
    <row r="95" spans="1:14">
      <c r="A95" s="2"/>
      <c r="B95" s="3"/>
      <c r="C95" s="3"/>
      <c r="D95" s="3"/>
      <c r="E95" s="3"/>
      <c r="F95" s="3"/>
      <c r="G95" s="3"/>
      <c r="H95" s="4"/>
      <c r="I95" s="5"/>
      <c r="J95" s="6"/>
      <c r="K95" s="3"/>
      <c r="L95" s="6"/>
      <c r="M95" s="6" t="str">
        <f>IF(OR(K95="",K95="Pending"),"",L95-J95)</f>
        <v> </v>
      </c>
      <c r="N95" s="6" t="str">
        <f>IF(M95="","",'Summary'!$B$4+SUM($M$2:M95))</f>
        <v> </v>
      </c>
    </row>
    <row r="96" spans="1:14">
      <c r="A96" s="2"/>
      <c r="B96" s="3"/>
      <c r="C96" s="3"/>
      <c r="D96" s="3"/>
      <c r="E96" s="3"/>
      <c r="F96" s="3"/>
      <c r="G96" s="3"/>
      <c r="H96" s="4"/>
      <c r="I96" s="5"/>
      <c r="J96" s="6"/>
      <c r="K96" s="3"/>
      <c r="L96" s="6"/>
      <c r="M96" s="6" t="str">
        <f>IF(OR(K96="",K96="Pending"),"",L96-J96)</f>
        <v> </v>
      </c>
      <c r="N96" s="6" t="str">
        <f>IF(M96="","",'Summary'!$B$4+SUM($M$2:M96))</f>
        <v> </v>
      </c>
    </row>
    <row r="97" spans="1:14">
      <c r="A97" s="2"/>
      <c r="B97" s="3"/>
      <c r="C97" s="3"/>
      <c r="D97" s="3"/>
      <c r="E97" s="3"/>
      <c r="F97" s="3"/>
      <c r="G97" s="3"/>
      <c r="H97" s="4"/>
      <c r="I97" s="5"/>
      <c r="J97" s="6"/>
      <c r="K97" s="3"/>
      <c r="L97" s="6"/>
      <c r="M97" s="6" t="str">
        <f>IF(OR(K97="",K97="Pending"),"",L97-J97)</f>
        <v> </v>
      </c>
      <c r="N97" s="6" t="str">
        <f>IF(M97="","",'Summary'!$B$4+SUM($M$2:M97))</f>
        <v> </v>
      </c>
    </row>
    <row r="98" spans="1:14">
      <c r="A98" s="2"/>
      <c r="B98" s="3"/>
      <c r="C98" s="3"/>
      <c r="D98" s="3"/>
      <c r="E98" s="3"/>
      <c r="F98" s="3"/>
      <c r="G98" s="3"/>
      <c r="H98" s="4"/>
      <c r="I98" s="5"/>
      <c r="J98" s="6"/>
      <c r="K98" s="3"/>
      <c r="L98" s="6"/>
      <c r="M98" s="6" t="str">
        <f>IF(OR(K98="",K98="Pending"),"",L98-J98)</f>
        <v> </v>
      </c>
      <c r="N98" s="6" t="str">
        <f>IF(M98="","",'Summary'!$B$4+SUM($M$2:M98))</f>
        <v> </v>
      </c>
    </row>
    <row r="99" spans="1:14">
      <c r="A99" s="2"/>
      <c r="B99" s="3"/>
      <c r="C99" s="3"/>
      <c r="D99" s="3"/>
      <c r="E99" s="3"/>
      <c r="F99" s="3"/>
      <c r="G99" s="3"/>
      <c r="H99" s="4"/>
      <c r="I99" s="5"/>
      <c r="J99" s="6"/>
      <c r="K99" s="3"/>
      <c r="L99" s="6"/>
      <c r="M99" s="6" t="str">
        <f>IF(OR(K99="",K99="Pending"),"",L99-J99)</f>
        <v> </v>
      </c>
      <c r="N99" s="6" t="str">
        <f>IF(M99="","",'Summary'!$B$4+SUM($M$2:M99))</f>
        <v> </v>
      </c>
    </row>
    <row r="100" spans="1:14">
      <c r="A100" s="2"/>
      <c r="B100" s="3"/>
      <c r="C100" s="3"/>
      <c r="D100" s="3"/>
      <c r="E100" s="3"/>
      <c r="F100" s="3"/>
      <c r="G100" s="3"/>
      <c r="H100" s="4"/>
      <c r="I100" s="5"/>
      <c r="J100" s="6"/>
      <c r="K100" s="3"/>
      <c r="L100" s="6"/>
      <c r="M100" s="6" t="str">
        <f>IF(OR(K100="",K100="Pending"),"",L100-J100)</f>
        <v> </v>
      </c>
      <c r="N100" s="6" t="str">
        <f>IF(M100="","",'Summary'!$B$4+SUM($M$2:M100))</f>
        <v> </v>
      </c>
    </row>
    <row r="101" spans="1:14">
      <c r="A101" s="2"/>
      <c r="B101" s="3"/>
      <c r="C101" s="3"/>
      <c r="D101" s="3"/>
      <c r="E101" s="3"/>
      <c r="F101" s="3"/>
      <c r="G101" s="3"/>
      <c r="H101" s="4"/>
      <c r="I101" s="5"/>
      <c r="J101" s="6"/>
      <c r="K101" s="3"/>
      <c r="L101" s="6"/>
      <c r="M101" s="6" t="str">
        <f>IF(OR(K101="",K101="Pending"),"",L101-J101)</f>
        <v> </v>
      </c>
      <c r="N101" s="6" t="str">
        <f>IF(M101="","",'Summary'!$B$4+SUM($M$2:M101))</f>
        <v> </v>
      </c>
    </row>
    <row r="102" spans="1:14">
      <c r="A102" s="2"/>
      <c r="B102" s="3"/>
      <c r="C102" s="3"/>
      <c r="D102" s="3"/>
      <c r="E102" s="3"/>
      <c r="F102" s="3"/>
      <c r="G102" s="3"/>
      <c r="H102" s="4"/>
      <c r="I102" s="5"/>
      <c r="J102" s="6"/>
      <c r="K102" s="3"/>
      <c r="L102" s="6"/>
      <c r="M102" s="6" t="str">
        <f>IF(OR(K102="",K102="Pending"),"",L102-J102)</f>
        <v> </v>
      </c>
      <c r="N102" s="6" t="str">
        <f>IF(M102="","",'Summary'!$B$4+SUM($M$2:M102))</f>
        <v> </v>
      </c>
    </row>
    <row r="103" spans="1:14">
      <c r="A103" s="2"/>
      <c r="B103" s="3"/>
      <c r="C103" s="3"/>
      <c r="D103" s="3"/>
      <c r="E103" s="3"/>
      <c r="F103" s="3"/>
      <c r="G103" s="3"/>
      <c r="H103" s="4"/>
      <c r="I103" s="5"/>
      <c r="J103" s="6"/>
      <c r="K103" s="3"/>
      <c r="L103" s="6"/>
      <c r="M103" s="6" t="str">
        <f>IF(OR(K103="",K103="Pending"),"",L103-J103)</f>
        <v> </v>
      </c>
      <c r="N103" s="6" t="str">
        <f>IF(M103="","",'Summary'!$B$4+SUM($M$2:M103))</f>
        <v> </v>
      </c>
    </row>
    <row r="104" spans="1:14">
      <c r="A104" s="2"/>
      <c r="B104" s="3"/>
      <c r="C104" s="3"/>
      <c r="D104" s="3"/>
      <c r="E104" s="3"/>
      <c r="F104" s="3"/>
      <c r="G104" s="3"/>
      <c r="H104" s="4"/>
      <c r="I104" s="5"/>
      <c r="J104" s="6"/>
      <c r="K104" s="3"/>
      <c r="L104" s="6"/>
      <c r="M104" s="6" t="str">
        <f>IF(OR(K104="",K104="Pending"),"",L104-J104)</f>
        <v> </v>
      </c>
      <c r="N104" s="6" t="str">
        <f>IF(M104="","",'Summary'!$B$4+SUM($M$2:M104))</f>
        <v> </v>
      </c>
    </row>
    <row r="105" spans="1:14">
      <c r="A105" s="2"/>
      <c r="B105" s="3"/>
      <c r="C105" s="3"/>
      <c r="D105" s="3"/>
      <c r="E105" s="3"/>
      <c r="F105" s="3"/>
      <c r="G105" s="3"/>
      <c r="H105" s="4"/>
      <c r="I105" s="5"/>
      <c r="J105" s="6"/>
      <c r="K105" s="3"/>
      <c r="L105" s="6"/>
      <c r="M105" s="6" t="str">
        <f>IF(OR(K105="",K105="Pending"),"",L105-J105)</f>
        <v> </v>
      </c>
      <c r="N105" s="6" t="str">
        <f>IF(M105="","",'Summary'!$B$4+SUM($M$2:M105))</f>
        <v> </v>
      </c>
    </row>
    <row r="106" spans="1:14">
      <c r="A106" s="2"/>
      <c r="B106" s="3"/>
      <c r="C106" s="3"/>
      <c r="D106" s="3"/>
      <c r="E106" s="3"/>
      <c r="F106" s="3"/>
      <c r="G106" s="3"/>
      <c r="H106" s="4"/>
      <c r="I106" s="5"/>
      <c r="J106" s="6"/>
      <c r="K106" s="3"/>
      <c r="L106" s="6"/>
      <c r="M106" s="6" t="str">
        <f>IF(OR(K106="",K106="Pending"),"",L106-J106)</f>
        <v> </v>
      </c>
      <c r="N106" s="6" t="str">
        <f>IF(M106="","",'Summary'!$B$4+SUM($M$2:M106))</f>
        <v> </v>
      </c>
    </row>
    <row r="107" spans="1:14">
      <c r="A107" s="2"/>
      <c r="B107" s="3"/>
      <c r="C107" s="3"/>
      <c r="D107" s="3"/>
      <c r="E107" s="3"/>
      <c r="F107" s="3"/>
      <c r="G107" s="3"/>
      <c r="H107" s="4"/>
      <c r="I107" s="5"/>
      <c r="J107" s="6"/>
      <c r="K107" s="3"/>
      <c r="L107" s="6"/>
      <c r="M107" s="6" t="str">
        <f>IF(OR(K107="",K107="Pending"),"",L107-J107)</f>
        <v> </v>
      </c>
      <c r="N107" s="6" t="str">
        <f>IF(M107="","",'Summary'!$B$4+SUM($M$2:M107))</f>
        <v> </v>
      </c>
    </row>
    <row r="108" spans="1:14">
      <c r="A108" s="2"/>
      <c r="B108" s="3"/>
      <c r="C108" s="3"/>
      <c r="D108" s="3"/>
      <c r="E108" s="3"/>
      <c r="F108" s="3"/>
      <c r="G108" s="3"/>
      <c r="H108" s="4"/>
      <c r="I108" s="5"/>
      <c r="J108" s="6"/>
      <c r="K108" s="3"/>
      <c r="L108" s="6"/>
      <c r="M108" s="6" t="str">
        <f>IF(OR(K108="",K108="Pending"),"",L108-J108)</f>
        <v> </v>
      </c>
      <c r="N108" s="6" t="str">
        <f>IF(M108="","",'Summary'!$B$4+SUM($M$2:M108))</f>
        <v> </v>
      </c>
    </row>
    <row r="109" spans="1:14">
      <c r="A109" s="2"/>
      <c r="B109" s="3"/>
      <c r="C109" s="3"/>
      <c r="D109" s="3"/>
      <c r="E109" s="3"/>
      <c r="F109" s="3"/>
      <c r="G109" s="3"/>
      <c r="H109" s="4"/>
      <c r="I109" s="5"/>
      <c r="J109" s="6"/>
      <c r="K109" s="3"/>
      <c r="L109" s="6"/>
      <c r="M109" s="6" t="str">
        <f>IF(OR(K109="",K109="Pending"),"",L109-J109)</f>
        <v> </v>
      </c>
      <c r="N109" s="6" t="str">
        <f>IF(M109="","",'Summary'!$B$4+SUM($M$2:M109))</f>
        <v> </v>
      </c>
    </row>
    <row r="110" spans="1:14">
      <c r="A110" s="2"/>
      <c r="B110" s="3"/>
      <c r="C110" s="3"/>
      <c r="D110" s="3"/>
      <c r="E110" s="3"/>
      <c r="F110" s="3"/>
      <c r="G110" s="3"/>
      <c r="H110" s="4"/>
      <c r="I110" s="5"/>
      <c r="J110" s="6"/>
      <c r="K110" s="3"/>
      <c r="L110" s="6"/>
      <c r="M110" s="6" t="str">
        <f>IF(OR(K110="",K110="Pending"),"",L110-J110)</f>
        <v> </v>
      </c>
      <c r="N110" s="6" t="str">
        <f>IF(M110="","",'Summary'!$B$4+SUM($M$2:M110))</f>
        <v> </v>
      </c>
    </row>
    <row r="111" spans="1:14">
      <c r="A111" s="2"/>
      <c r="B111" s="3"/>
      <c r="C111" s="3"/>
      <c r="D111" s="3"/>
      <c r="E111" s="3"/>
      <c r="F111" s="3"/>
      <c r="G111" s="3"/>
      <c r="H111" s="4"/>
      <c r="I111" s="5"/>
      <c r="J111" s="6"/>
      <c r="K111" s="3"/>
      <c r="L111" s="6"/>
      <c r="M111" s="6" t="str">
        <f>IF(OR(K111="",K111="Pending"),"",L111-J111)</f>
        <v> </v>
      </c>
      <c r="N111" s="6" t="str">
        <f>IF(M111="","",'Summary'!$B$4+SUM($M$2:M111))</f>
        <v> </v>
      </c>
    </row>
    <row r="112" spans="1:14">
      <c r="A112" s="2"/>
      <c r="B112" s="3"/>
      <c r="C112" s="3"/>
      <c r="D112" s="3"/>
      <c r="E112" s="3"/>
      <c r="F112" s="3"/>
      <c r="G112" s="3"/>
      <c r="H112" s="4"/>
      <c r="I112" s="5"/>
      <c r="J112" s="6"/>
      <c r="K112" s="3"/>
      <c r="L112" s="6"/>
      <c r="M112" s="6" t="str">
        <f>IF(OR(K112="",K112="Pending"),"",L112-J112)</f>
        <v> </v>
      </c>
      <c r="N112" s="6" t="str">
        <f>IF(M112="","",'Summary'!$B$4+SUM($M$2:M112))</f>
        <v> </v>
      </c>
    </row>
    <row r="113" spans="1:14">
      <c r="A113" s="2"/>
      <c r="B113" s="3"/>
      <c r="C113" s="3"/>
      <c r="D113" s="3"/>
      <c r="E113" s="3"/>
      <c r="F113" s="3"/>
      <c r="G113" s="3"/>
      <c r="H113" s="4"/>
      <c r="I113" s="5"/>
      <c r="J113" s="6"/>
      <c r="K113" s="3"/>
      <c r="L113" s="6"/>
      <c r="M113" s="6" t="str">
        <f>IF(OR(K113="",K113="Pending"),"",L113-J113)</f>
        <v> </v>
      </c>
      <c r="N113" s="6" t="str">
        <f>IF(M113="","",'Summary'!$B$4+SUM($M$2:M113))</f>
        <v> </v>
      </c>
    </row>
    <row r="114" spans="1:14">
      <c r="A114" s="2"/>
      <c r="B114" s="3"/>
      <c r="C114" s="3"/>
      <c r="D114" s="3"/>
      <c r="E114" s="3"/>
      <c r="F114" s="3"/>
      <c r="G114" s="3"/>
      <c r="H114" s="4"/>
      <c r="I114" s="5"/>
      <c r="J114" s="6"/>
      <c r="K114" s="3"/>
      <c r="L114" s="6"/>
      <c r="M114" s="6" t="str">
        <f>IF(OR(K114="",K114="Pending"),"",L114-J114)</f>
        <v> </v>
      </c>
      <c r="N114" s="6" t="str">
        <f>IF(M114="","",'Summary'!$B$4+SUM($M$2:M114))</f>
        <v> </v>
      </c>
    </row>
    <row r="115" spans="1:14">
      <c r="A115" s="2"/>
      <c r="B115" s="3"/>
      <c r="C115" s="3"/>
      <c r="D115" s="3"/>
      <c r="E115" s="3"/>
      <c r="F115" s="3"/>
      <c r="G115" s="3"/>
      <c r="H115" s="4"/>
      <c r="I115" s="5"/>
      <c r="J115" s="6"/>
      <c r="K115" s="3"/>
      <c r="L115" s="6"/>
      <c r="M115" s="6" t="str">
        <f>IF(OR(K115="",K115="Pending"),"",L115-J115)</f>
        <v> </v>
      </c>
      <c r="N115" s="6" t="str">
        <f>IF(M115="","",'Summary'!$B$4+SUM($M$2:M115))</f>
        <v> </v>
      </c>
    </row>
    <row r="116" spans="1:14">
      <c r="A116" s="2"/>
      <c r="B116" s="3"/>
      <c r="C116" s="3"/>
      <c r="D116" s="3"/>
      <c r="E116" s="3"/>
      <c r="F116" s="3"/>
      <c r="G116" s="3"/>
      <c r="H116" s="4"/>
      <c r="I116" s="5"/>
      <c r="J116" s="6"/>
      <c r="K116" s="3"/>
      <c r="L116" s="6"/>
      <c r="M116" s="6" t="str">
        <f>IF(OR(K116="",K116="Pending"),"",L116-J116)</f>
        <v> </v>
      </c>
      <c r="N116" s="6" t="str">
        <f>IF(M116="","",'Summary'!$B$4+SUM($M$2:M116))</f>
        <v> </v>
      </c>
    </row>
    <row r="117" spans="1:14">
      <c r="A117" s="2"/>
      <c r="B117" s="3"/>
      <c r="C117" s="3"/>
      <c r="D117" s="3"/>
      <c r="E117" s="3"/>
      <c r="F117" s="3"/>
      <c r="G117" s="3"/>
      <c r="H117" s="4"/>
      <c r="I117" s="5"/>
      <c r="J117" s="6"/>
      <c r="K117" s="3"/>
      <c r="L117" s="6"/>
      <c r="M117" s="6" t="str">
        <f>IF(OR(K117="",K117="Pending"),"",L117-J117)</f>
        <v> </v>
      </c>
      <c r="N117" s="6" t="str">
        <f>IF(M117="","",'Summary'!$B$4+SUM($M$2:M117))</f>
        <v> </v>
      </c>
    </row>
    <row r="118" spans="1:14">
      <c r="A118" s="2"/>
      <c r="B118" s="3"/>
      <c r="C118" s="3"/>
      <c r="D118" s="3"/>
      <c r="E118" s="3"/>
      <c r="F118" s="3"/>
      <c r="G118" s="3"/>
      <c r="H118" s="4"/>
      <c r="I118" s="5"/>
      <c r="J118" s="6"/>
      <c r="K118" s="3"/>
      <c r="L118" s="6"/>
      <c r="M118" s="6" t="str">
        <f>IF(OR(K118="",K118="Pending"),"",L118-J118)</f>
        <v> </v>
      </c>
      <c r="N118" s="6" t="str">
        <f>IF(M118="","",'Summary'!$B$4+SUM($M$2:M118))</f>
        <v> </v>
      </c>
    </row>
    <row r="119" spans="1:14">
      <c r="A119" s="2"/>
      <c r="B119" s="3"/>
      <c r="C119" s="3"/>
      <c r="D119" s="3"/>
      <c r="E119" s="3"/>
      <c r="F119" s="3"/>
      <c r="G119" s="3"/>
      <c r="H119" s="4"/>
      <c r="I119" s="5"/>
      <c r="J119" s="6"/>
      <c r="K119" s="3"/>
      <c r="L119" s="6"/>
      <c r="M119" s="6" t="str">
        <f>IF(OR(K119="",K119="Pending"),"",L119-J119)</f>
        <v> </v>
      </c>
      <c r="N119" s="6" t="str">
        <f>IF(M119="","",'Summary'!$B$4+SUM($M$2:M119))</f>
        <v> </v>
      </c>
    </row>
    <row r="120" spans="1:14">
      <c r="A120" s="2"/>
      <c r="B120" s="3"/>
      <c r="C120" s="3"/>
      <c r="D120" s="3"/>
      <c r="E120" s="3"/>
      <c r="F120" s="3"/>
      <c r="G120" s="3"/>
      <c r="H120" s="4"/>
      <c r="I120" s="5"/>
      <c r="J120" s="6"/>
      <c r="K120" s="3"/>
      <c r="L120" s="6"/>
      <c r="M120" s="6" t="str">
        <f>IF(OR(K120="",K120="Pending"),"",L120-J120)</f>
        <v> </v>
      </c>
      <c r="N120" s="6" t="str">
        <f>IF(M120="","",'Summary'!$B$4+SUM($M$2:M120))</f>
        <v> </v>
      </c>
    </row>
    <row r="121" spans="1:14">
      <c r="A121" s="2"/>
      <c r="B121" s="3"/>
      <c r="C121" s="3"/>
      <c r="D121" s="3"/>
      <c r="E121" s="3"/>
      <c r="F121" s="3"/>
      <c r="G121" s="3"/>
      <c r="H121" s="4"/>
      <c r="I121" s="5"/>
      <c r="J121" s="6"/>
      <c r="K121" s="3"/>
      <c r="L121" s="6"/>
      <c r="M121" s="6" t="str">
        <f>IF(OR(K121="",K121="Pending"),"",L121-J121)</f>
        <v> </v>
      </c>
      <c r="N121" s="6" t="str">
        <f>IF(M121="","",'Summary'!$B$4+SUM($M$2:M121))</f>
        <v> </v>
      </c>
    </row>
    <row r="122" spans="1:14">
      <c r="A122" s="2"/>
      <c r="B122" s="3"/>
      <c r="C122" s="3"/>
      <c r="D122" s="3"/>
      <c r="E122" s="3"/>
      <c r="F122" s="3"/>
      <c r="G122" s="3"/>
      <c r="H122" s="4"/>
      <c r="I122" s="5"/>
      <c r="J122" s="6"/>
      <c r="K122" s="3"/>
      <c r="L122" s="6"/>
      <c r="M122" s="6" t="str">
        <f>IF(OR(K122="",K122="Pending"),"",L122-J122)</f>
        <v> </v>
      </c>
      <c r="N122" s="6" t="str">
        <f>IF(M122="","",'Summary'!$B$4+SUM($M$2:M122))</f>
        <v> </v>
      </c>
    </row>
    <row r="123" spans="1:14">
      <c r="A123" s="2"/>
      <c r="B123" s="3"/>
      <c r="C123" s="3"/>
      <c r="D123" s="3"/>
      <c r="E123" s="3"/>
      <c r="F123" s="3"/>
      <c r="G123" s="3"/>
      <c r="H123" s="4"/>
      <c r="I123" s="5"/>
      <c r="J123" s="6"/>
      <c r="K123" s="3"/>
      <c r="L123" s="6"/>
      <c r="M123" s="6" t="str">
        <f>IF(OR(K123="",K123="Pending"),"",L123-J123)</f>
        <v> </v>
      </c>
      <c r="N123" s="6" t="str">
        <f>IF(M123="","",'Summary'!$B$4+SUM($M$2:M123))</f>
        <v> </v>
      </c>
    </row>
    <row r="124" spans="1:14">
      <c r="A124" s="2"/>
      <c r="B124" s="3"/>
      <c r="C124" s="3"/>
      <c r="D124" s="3"/>
      <c r="E124" s="3"/>
      <c r="F124" s="3"/>
      <c r="G124" s="3"/>
      <c r="H124" s="4"/>
      <c r="I124" s="5"/>
      <c r="J124" s="6"/>
      <c r="K124" s="3"/>
      <c r="L124" s="6"/>
      <c r="M124" s="6" t="str">
        <f>IF(OR(K124="",K124="Pending"),"",L124-J124)</f>
        <v> </v>
      </c>
      <c r="N124" s="6" t="str">
        <f>IF(M124="","",'Summary'!$B$4+SUM($M$2:M124))</f>
        <v> </v>
      </c>
    </row>
    <row r="125" spans="1:14">
      <c r="A125" s="2"/>
      <c r="B125" s="3"/>
      <c r="C125" s="3"/>
      <c r="D125" s="3"/>
      <c r="E125" s="3"/>
      <c r="F125" s="3"/>
      <c r="G125" s="3"/>
      <c r="H125" s="4"/>
      <c r="I125" s="5"/>
      <c r="J125" s="6"/>
      <c r="K125" s="3"/>
      <c r="L125" s="6"/>
      <c r="M125" s="6" t="str">
        <f>IF(OR(K125="",K125="Pending"),"",L125-J125)</f>
        <v> </v>
      </c>
      <c r="N125" s="6" t="str">
        <f>IF(M125="","",'Summary'!$B$4+SUM($M$2:M125))</f>
        <v> </v>
      </c>
    </row>
    <row r="126" spans="1:14">
      <c r="A126" s="2"/>
      <c r="B126" s="3"/>
      <c r="C126" s="3"/>
      <c r="D126" s="3"/>
      <c r="E126" s="3"/>
      <c r="F126" s="3"/>
      <c r="G126" s="3"/>
      <c r="H126" s="4"/>
      <c r="I126" s="5"/>
      <c r="J126" s="6"/>
      <c r="K126" s="3"/>
      <c r="L126" s="6"/>
      <c r="M126" s="6" t="str">
        <f>IF(OR(K126="",K126="Pending"),"",L126-J126)</f>
        <v> </v>
      </c>
      <c r="N126" s="6" t="str">
        <f>IF(M126="","",'Summary'!$B$4+SUM($M$2:M126))</f>
        <v> </v>
      </c>
    </row>
    <row r="127" spans="1:14">
      <c r="A127" s="2"/>
      <c r="B127" s="3"/>
      <c r="C127" s="3"/>
      <c r="D127" s="3"/>
      <c r="E127" s="3"/>
      <c r="F127" s="3"/>
      <c r="G127" s="3"/>
      <c r="H127" s="4"/>
      <c r="I127" s="5"/>
      <c r="J127" s="6"/>
      <c r="K127" s="3"/>
      <c r="L127" s="6"/>
      <c r="M127" s="6" t="str">
        <f>IF(OR(K127="",K127="Pending"),"",L127-J127)</f>
        <v> </v>
      </c>
      <c r="N127" s="6" t="str">
        <f>IF(M127="","",'Summary'!$B$4+SUM($M$2:M127))</f>
        <v> </v>
      </c>
    </row>
    <row r="128" spans="1:14">
      <c r="A128" s="2"/>
      <c r="B128" s="3"/>
      <c r="C128" s="3"/>
      <c r="D128" s="3"/>
      <c r="E128" s="3"/>
      <c r="F128" s="3"/>
      <c r="G128" s="3"/>
      <c r="H128" s="4"/>
      <c r="I128" s="5"/>
      <c r="J128" s="6"/>
      <c r="K128" s="3"/>
      <c r="L128" s="6"/>
      <c r="M128" s="6" t="str">
        <f>IF(OR(K128="",K128="Pending"),"",L128-J128)</f>
        <v> </v>
      </c>
      <c r="N128" s="6" t="str">
        <f>IF(M128="","",'Summary'!$B$4+SUM($M$2:M128))</f>
        <v> </v>
      </c>
    </row>
    <row r="129" spans="1:14">
      <c r="A129" s="2"/>
      <c r="B129" s="3"/>
      <c r="C129" s="3"/>
      <c r="D129" s="3"/>
      <c r="E129" s="3"/>
      <c r="F129" s="3"/>
      <c r="G129" s="3"/>
      <c r="H129" s="4"/>
      <c r="I129" s="5"/>
      <c r="J129" s="6"/>
      <c r="K129" s="3"/>
      <c r="L129" s="6"/>
      <c r="M129" s="6" t="str">
        <f>IF(OR(K129="",K129="Pending"),"",L129-J129)</f>
        <v> </v>
      </c>
      <c r="N129" s="6" t="str">
        <f>IF(M129="","",'Summary'!$B$4+SUM($M$2:M129))</f>
        <v> </v>
      </c>
    </row>
    <row r="130" spans="1:14">
      <c r="A130" s="2"/>
      <c r="B130" s="3"/>
      <c r="C130" s="3"/>
      <c r="D130" s="3"/>
      <c r="E130" s="3"/>
      <c r="F130" s="3"/>
      <c r="G130" s="3"/>
      <c r="H130" s="4"/>
      <c r="I130" s="5"/>
      <c r="J130" s="6"/>
      <c r="K130" s="3"/>
      <c r="L130" s="6"/>
      <c r="M130" s="6" t="str">
        <f>IF(OR(K130="",K130="Pending"),"",L130-J130)</f>
        <v> </v>
      </c>
      <c r="N130" s="6" t="str">
        <f>IF(M130="","",'Summary'!$B$4+SUM($M$2:M130))</f>
        <v> </v>
      </c>
    </row>
    <row r="131" spans="1:14">
      <c r="A131" s="2"/>
      <c r="B131" s="3"/>
      <c r="C131" s="3"/>
      <c r="D131" s="3"/>
      <c r="E131" s="3"/>
      <c r="F131" s="3"/>
      <c r="G131" s="3"/>
      <c r="H131" s="4"/>
      <c r="I131" s="5"/>
      <c r="J131" s="6"/>
      <c r="K131" s="3"/>
      <c r="L131" s="6"/>
      <c r="M131" s="6" t="str">
        <f>IF(OR(K131="",K131="Pending"),"",L131-J131)</f>
        <v> </v>
      </c>
      <c r="N131" s="6" t="str">
        <f>IF(M131="","",'Summary'!$B$4+SUM($M$2:M131))</f>
        <v> </v>
      </c>
    </row>
    <row r="132" spans="1:14">
      <c r="A132" s="2"/>
      <c r="B132" s="3"/>
      <c r="C132" s="3"/>
      <c r="D132" s="3"/>
      <c r="E132" s="3"/>
      <c r="F132" s="3"/>
      <c r="G132" s="3"/>
      <c r="H132" s="4"/>
      <c r="I132" s="5"/>
      <c r="J132" s="6"/>
      <c r="K132" s="3"/>
      <c r="L132" s="6"/>
      <c r="M132" s="6" t="str">
        <f>IF(OR(K132="",K132="Pending"),"",L132-J132)</f>
        <v> </v>
      </c>
      <c r="N132" s="6" t="str">
        <f>IF(M132="","",'Summary'!$B$4+SUM($M$2:M132))</f>
        <v> </v>
      </c>
    </row>
    <row r="133" spans="1:14">
      <c r="A133" s="2"/>
      <c r="B133" s="3"/>
      <c r="C133" s="3"/>
      <c r="D133" s="3"/>
      <c r="E133" s="3"/>
      <c r="F133" s="3"/>
      <c r="G133" s="3"/>
      <c r="H133" s="4"/>
      <c r="I133" s="5"/>
      <c r="J133" s="6"/>
      <c r="K133" s="3"/>
      <c r="L133" s="6"/>
      <c r="M133" s="6" t="str">
        <f>IF(OR(K133="",K133="Pending"),"",L133-J133)</f>
        <v> </v>
      </c>
      <c r="N133" s="6" t="str">
        <f>IF(M133="","",'Summary'!$B$4+SUM($M$2:M133))</f>
        <v> </v>
      </c>
    </row>
    <row r="134" spans="1:14">
      <c r="A134" s="2"/>
      <c r="B134" s="3"/>
      <c r="C134" s="3"/>
      <c r="D134" s="3"/>
      <c r="E134" s="3"/>
      <c r="F134" s="3"/>
      <c r="G134" s="3"/>
      <c r="H134" s="4"/>
      <c r="I134" s="5"/>
      <c r="J134" s="6"/>
      <c r="K134" s="3"/>
      <c r="L134" s="6"/>
      <c r="M134" s="6" t="str">
        <f>IF(OR(K134="",K134="Pending"),"",L134-J134)</f>
        <v> </v>
      </c>
      <c r="N134" s="6" t="str">
        <f>IF(M134="","",'Summary'!$B$4+SUM($M$2:M134))</f>
        <v> </v>
      </c>
    </row>
    <row r="135" spans="1:14">
      <c r="A135" s="2"/>
      <c r="B135" s="3"/>
      <c r="C135" s="3"/>
      <c r="D135" s="3"/>
      <c r="E135" s="3"/>
      <c r="F135" s="3"/>
      <c r="G135" s="3"/>
      <c r="H135" s="4"/>
      <c r="I135" s="5"/>
      <c r="J135" s="6"/>
      <c r="K135" s="3"/>
      <c r="L135" s="6"/>
      <c r="M135" s="6" t="str">
        <f>IF(OR(K135="",K135="Pending"),"",L135-J135)</f>
        <v> </v>
      </c>
      <c r="N135" s="6" t="str">
        <f>IF(M135="","",'Summary'!$B$4+SUM($M$2:M135))</f>
        <v> </v>
      </c>
    </row>
    <row r="136" spans="1:14">
      <c r="A136" s="2"/>
      <c r="B136" s="3"/>
      <c r="C136" s="3"/>
      <c r="D136" s="3"/>
      <c r="E136" s="3"/>
      <c r="F136" s="3"/>
      <c r="G136" s="3"/>
      <c r="H136" s="4"/>
      <c r="I136" s="5"/>
      <c r="J136" s="6"/>
      <c r="K136" s="3"/>
      <c r="L136" s="6"/>
      <c r="M136" s="6" t="str">
        <f>IF(OR(K136="",K136="Pending"),"",L136-J136)</f>
        <v> </v>
      </c>
      <c r="N136" s="6" t="str">
        <f>IF(M136="","",'Summary'!$B$4+SUM($M$2:M136))</f>
        <v> </v>
      </c>
    </row>
    <row r="137" spans="1:14">
      <c r="A137" s="2"/>
      <c r="B137" s="3"/>
      <c r="C137" s="3"/>
      <c r="D137" s="3"/>
      <c r="E137" s="3"/>
      <c r="F137" s="3"/>
      <c r="G137" s="3"/>
      <c r="H137" s="4"/>
      <c r="I137" s="5"/>
      <c r="J137" s="6"/>
      <c r="K137" s="3"/>
      <c r="L137" s="6"/>
      <c r="M137" s="6" t="str">
        <f>IF(OR(K137="",K137="Pending"),"",L137-J137)</f>
        <v> </v>
      </c>
      <c r="N137" s="6" t="str">
        <f>IF(M137="","",'Summary'!$B$4+SUM($M$2:M137))</f>
        <v> </v>
      </c>
    </row>
    <row r="138" spans="1:14">
      <c r="A138" s="2"/>
      <c r="B138" s="3"/>
      <c r="C138" s="3"/>
      <c r="D138" s="3"/>
      <c r="E138" s="3"/>
      <c r="F138" s="3"/>
      <c r="G138" s="3"/>
      <c r="H138" s="4"/>
      <c r="I138" s="5"/>
      <c r="J138" s="6"/>
      <c r="K138" s="3"/>
      <c r="L138" s="6"/>
      <c r="M138" s="6" t="str">
        <f>IF(OR(K138="",K138="Pending"),"",L138-J138)</f>
        <v> </v>
      </c>
      <c r="N138" s="6" t="str">
        <f>IF(M138="","",'Summary'!$B$4+SUM($M$2:M138))</f>
        <v> </v>
      </c>
    </row>
    <row r="139" spans="1:14">
      <c r="A139" s="2"/>
      <c r="B139" s="3"/>
      <c r="C139" s="3"/>
      <c r="D139" s="3"/>
      <c r="E139" s="3"/>
      <c r="F139" s="3"/>
      <c r="G139" s="3"/>
      <c r="H139" s="4"/>
      <c r="I139" s="5"/>
      <c r="J139" s="6"/>
      <c r="K139" s="3"/>
      <c r="L139" s="6"/>
      <c r="M139" s="6" t="str">
        <f>IF(OR(K139="",K139="Pending"),"",L139-J139)</f>
        <v> </v>
      </c>
      <c r="N139" s="6" t="str">
        <f>IF(M139="","",'Summary'!$B$4+SUM($M$2:M139))</f>
        <v> </v>
      </c>
    </row>
    <row r="140" spans="1:14">
      <c r="A140" s="2"/>
      <c r="B140" s="3"/>
      <c r="C140" s="3"/>
      <c r="D140" s="3"/>
      <c r="E140" s="3"/>
      <c r="F140" s="3"/>
      <c r="G140" s="3"/>
      <c r="H140" s="4"/>
      <c r="I140" s="5"/>
      <c r="J140" s="6"/>
      <c r="K140" s="3"/>
      <c r="L140" s="6"/>
      <c r="M140" s="6" t="str">
        <f>IF(OR(K140="",K140="Pending"),"",L140-J140)</f>
        <v> </v>
      </c>
      <c r="N140" s="6" t="str">
        <f>IF(M140="","",'Summary'!$B$4+SUM($M$2:M140))</f>
        <v> </v>
      </c>
    </row>
    <row r="141" spans="1:14">
      <c r="A141" s="2"/>
      <c r="B141" s="3"/>
      <c r="C141" s="3"/>
      <c r="D141" s="3"/>
      <c r="E141" s="3"/>
      <c r="F141" s="3"/>
      <c r="G141" s="3"/>
      <c r="H141" s="4"/>
      <c r="I141" s="5"/>
      <c r="J141" s="6"/>
      <c r="K141" s="3"/>
      <c r="L141" s="6"/>
      <c r="M141" s="6" t="str">
        <f>IF(OR(K141="",K141="Pending"),"",L141-J141)</f>
        <v> </v>
      </c>
      <c r="N141" s="6" t="str">
        <f>IF(M141="","",'Summary'!$B$4+SUM($M$2:M141))</f>
        <v> </v>
      </c>
    </row>
    <row r="142" spans="1:14">
      <c r="A142" s="2"/>
      <c r="B142" s="3"/>
      <c r="C142" s="3"/>
      <c r="D142" s="3"/>
      <c r="E142" s="3"/>
      <c r="F142" s="3"/>
      <c r="G142" s="3"/>
      <c r="H142" s="4"/>
      <c r="I142" s="5"/>
      <c r="J142" s="6"/>
      <c r="K142" s="3"/>
      <c r="L142" s="6"/>
      <c r="M142" s="6" t="str">
        <f>IF(OR(K142="",K142="Pending"),"",L142-J142)</f>
        <v> </v>
      </c>
      <c r="N142" s="6" t="str">
        <f>IF(M142="","",'Summary'!$B$4+SUM($M$2:M142))</f>
        <v> </v>
      </c>
    </row>
    <row r="143" spans="1:14">
      <c r="A143" s="2"/>
      <c r="B143" s="3"/>
      <c r="C143" s="3"/>
      <c r="D143" s="3"/>
      <c r="E143" s="3"/>
      <c r="F143" s="3"/>
      <c r="G143" s="3"/>
      <c r="H143" s="4"/>
      <c r="I143" s="5"/>
      <c r="J143" s="6"/>
      <c r="K143" s="3"/>
      <c r="L143" s="6"/>
      <c r="M143" s="6" t="str">
        <f>IF(OR(K143="",K143="Pending"),"",L143-J143)</f>
        <v> </v>
      </c>
      <c r="N143" s="6" t="str">
        <f>IF(M143="","",'Summary'!$B$4+SUM($M$2:M143))</f>
        <v> </v>
      </c>
    </row>
    <row r="144" spans="1:14">
      <c r="A144" s="2"/>
      <c r="B144" s="3"/>
      <c r="C144" s="3"/>
      <c r="D144" s="3"/>
      <c r="E144" s="3"/>
      <c r="F144" s="3"/>
      <c r="G144" s="3"/>
      <c r="H144" s="4"/>
      <c r="I144" s="5"/>
      <c r="J144" s="6"/>
      <c r="K144" s="3"/>
      <c r="L144" s="6"/>
      <c r="M144" s="6" t="str">
        <f>IF(OR(K144="",K144="Pending"),"",L144-J144)</f>
        <v> </v>
      </c>
      <c r="N144" s="6" t="str">
        <f>IF(M144="","",'Summary'!$B$4+SUM($M$2:M144))</f>
        <v> </v>
      </c>
    </row>
    <row r="145" spans="1:14">
      <c r="A145" s="2"/>
      <c r="B145" s="3"/>
      <c r="C145" s="3"/>
      <c r="D145" s="3"/>
      <c r="E145" s="3"/>
      <c r="F145" s="3"/>
      <c r="G145" s="3"/>
      <c r="H145" s="4"/>
      <c r="I145" s="5"/>
      <c r="J145" s="6"/>
      <c r="K145" s="3"/>
      <c r="L145" s="6"/>
      <c r="M145" s="6" t="str">
        <f>IF(OR(K145="",K145="Pending"),"",L145-J145)</f>
        <v> </v>
      </c>
      <c r="N145" s="6" t="str">
        <f>IF(M145="","",'Summary'!$B$4+SUM($M$2:M145))</f>
        <v> </v>
      </c>
    </row>
    <row r="146" spans="1:14">
      <c r="A146" s="2"/>
      <c r="B146" s="3"/>
      <c r="C146" s="3"/>
      <c r="D146" s="3"/>
      <c r="E146" s="3"/>
      <c r="F146" s="3"/>
      <c r="G146" s="3"/>
      <c r="H146" s="4"/>
      <c r="I146" s="5"/>
      <c r="J146" s="6"/>
      <c r="K146" s="3"/>
      <c r="L146" s="6"/>
      <c r="M146" s="6" t="str">
        <f>IF(OR(K146="",K146="Pending"),"",L146-J146)</f>
        <v> </v>
      </c>
      <c r="N146" s="6" t="str">
        <f>IF(M146="","",'Summary'!$B$4+SUM($M$2:M146))</f>
        <v> </v>
      </c>
    </row>
    <row r="147" spans="1:14">
      <c r="A147" s="2"/>
      <c r="B147" s="3"/>
      <c r="C147" s="3"/>
      <c r="D147" s="3"/>
      <c r="E147" s="3"/>
      <c r="F147" s="3"/>
      <c r="G147" s="3"/>
      <c r="H147" s="4"/>
      <c r="I147" s="5"/>
      <c r="J147" s="6"/>
      <c r="K147" s="3"/>
      <c r="L147" s="6"/>
      <c r="M147" s="6" t="str">
        <f>IF(OR(K147="",K147="Pending"),"",L147-J147)</f>
        <v> </v>
      </c>
      <c r="N147" s="6" t="str">
        <f>IF(M147="","",'Summary'!$B$4+SUM($M$2:M147))</f>
        <v> </v>
      </c>
    </row>
    <row r="148" spans="1:14">
      <c r="A148" s="2"/>
      <c r="B148" s="3"/>
      <c r="C148" s="3"/>
      <c r="D148" s="3"/>
      <c r="E148" s="3"/>
      <c r="F148" s="3"/>
      <c r="G148" s="3"/>
      <c r="H148" s="4"/>
      <c r="I148" s="5"/>
      <c r="J148" s="6"/>
      <c r="K148" s="3"/>
      <c r="L148" s="6"/>
      <c r="M148" s="6" t="str">
        <f>IF(OR(K148="",K148="Pending"),"",L148-J148)</f>
        <v> </v>
      </c>
      <c r="N148" s="6" t="str">
        <f>IF(M148="","",'Summary'!$B$4+SUM($M$2:M148))</f>
        <v> </v>
      </c>
    </row>
    <row r="149" spans="1:14">
      <c r="A149" s="2"/>
      <c r="B149" s="3"/>
      <c r="C149" s="3"/>
      <c r="D149" s="3"/>
      <c r="E149" s="3"/>
      <c r="F149" s="3"/>
      <c r="G149" s="3"/>
      <c r="H149" s="4"/>
      <c r="I149" s="5"/>
      <c r="J149" s="6"/>
      <c r="K149" s="3"/>
      <c r="L149" s="6"/>
      <c r="M149" s="6" t="str">
        <f>IF(OR(K149="",K149="Pending"),"",L149-J149)</f>
        <v> </v>
      </c>
      <c r="N149" s="6" t="str">
        <f>IF(M149="","",'Summary'!$B$4+SUM($M$2:M149))</f>
        <v> </v>
      </c>
    </row>
    <row r="150" spans="1:14">
      <c r="A150" s="2"/>
      <c r="B150" s="3"/>
      <c r="C150" s="3"/>
      <c r="D150" s="3"/>
      <c r="E150" s="3"/>
      <c r="F150" s="3"/>
      <c r="G150" s="3"/>
      <c r="H150" s="4"/>
      <c r="I150" s="5"/>
      <c r="J150" s="6"/>
      <c r="K150" s="3"/>
      <c r="L150" s="6"/>
      <c r="M150" s="6" t="str">
        <f>IF(OR(K150="",K150="Pending"),"",L150-J150)</f>
        <v> </v>
      </c>
      <c r="N150" s="6" t="str">
        <f>IF(M150="","",'Summary'!$B$4+SUM($M$2:M150))</f>
        <v> </v>
      </c>
    </row>
    <row r="151" spans="1:14">
      <c r="A151" s="2"/>
      <c r="B151" s="3"/>
      <c r="C151" s="3"/>
      <c r="D151" s="3"/>
      <c r="E151" s="3"/>
      <c r="F151" s="3"/>
      <c r="G151" s="3"/>
      <c r="H151" s="4"/>
      <c r="I151" s="5"/>
      <c r="J151" s="6"/>
      <c r="K151" s="3"/>
      <c r="L151" s="6"/>
      <c r="M151" s="6" t="str">
        <f>IF(OR(K151="",K151="Pending"),"",L151-J151)</f>
        <v> </v>
      </c>
      <c r="N151" s="6" t="str">
        <f>IF(M151="","",'Summary'!$B$4+SUM($M$2:M151))</f>
        <v> </v>
      </c>
    </row>
    <row r="152" spans="1:14">
      <c r="A152" s="2"/>
      <c r="B152" s="3"/>
      <c r="C152" s="3"/>
      <c r="D152" s="3"/>
      <c r="E152" s="3"/>
      <c r="F152" s="3"/>
      <c r="G152" s="3"/>
      <c r="H152" s="4"/>
      <c r="I152" s="5"/>
      <c r="J152" s="6"/>
      <c r="K152" s="3"/>
      <c r="L152" s="6"/>
      <c r="M152" s="6" t="str">
        <f>IF(OR(K152="",K152="Pending"),"",L152-J152)</f>
        <v> </v>
      </c>
      <c r="N152" s="6" t="str">
        <f>IF(M152="","",'Summary'!$B$4+SUM($M$2:M152))</f>
        <v> </v>
      </c>
    </row>
    <row r="153" spans="1:14">
      <c r="A153" s="2"/>
      <c r="B153" s="3"/>
      <c r="C153" s="3"/>
      <c r="D153" s="3"/>
      <c r="E153" s="3"/>
      <c r="F153" s="3"/>
      <c r="G153" s="3"/>
      <c r="H153" s="4"/>
      <c r="I153" s="5"/>
      <c r="J153" s="6"/>
      <c r="K153" s="3"/>
      <c r="L153" s="6"/>
      <c r="M153" s="6" t="str">
        <f>IF(OR(K153="",K153="Pending"),"",L153-J153)</f>
        <v> </v>
      </c>
      <c r="N153" s="6" t="str">
        <f>IF(M153="","",'Summary'!$B$4+SUM($M$2:M153))</f>
        <v> </v>
      </c>
    </row>
    <row r="154" spans="1:14">
      <c r="A154" s="2"/>
      <c r="B154" s="3"/>
      <c r="C154" s="3"/>
      <c r="D154" s="3"/>
      <c r="E154" s="3"/>
      <c r="F154" s="3"/>
      <c r="G154" s="3"/>
      <c r="H154" s="4"/>
      <c r="I154" s="5"/>
      <c r="J154" s="6"/>
      <c r="K154" s="3"/>
      <c r="L154" s="6"/>
      <c r="M154" s="6" t="str">
        <f>IF(OR(K154="",K154="Pending"),"",L154-J154)</f>
        <v> </v>
      </c>
      <c r="N154" s="6" t="str">
        <f>IF(M154="","",'Summary'!$B$4+SUM($M$2:M154))</f>
        <v> </v>
      </c>
    </row>
    <row r="155" spans="1:14">
      <c r="A155" s="2"/>
      <c r="B155" s="3"/>
      <c r="C155" s="3"/>
      <c r="D155" s="3"/>
      <c r="E155" s="3"/>
      <c r="F155" s="3"/>
      <c r="G155" s="3"/>
      <c r="H155" s="4"/>
      <c r="I155" s="5"/>
      <c r="J155" s="6"/>
      <c r="K155" s="3"/>
      <c r="L155" s="6"/>
      <c r="M155" s="6" t="str">
        <f>IF(OR(K155="",K155="Pending"),"",L155-J155)</f>
        <v> </v>
      </c>
      <c r="N155" s="6" t="str">
        <f>IF(M155="","",'Summary'!$B$4+SUM($M$2:M155))</f>
        <v> </v>
      </c>
    </row>
    <row r="156" spans="1:14">
      <c r="A156" s="2"/>
      <c r="B156" s="3"/>
      <c r="C156" s="3"/>
      <c r="D156" s="3"/>
      <c r="E156" s="3"/>
      <c r="F156" s="3"/>
      <c r="G156" s="3"/>
      <c r="H156" s="4"/>
      <c r="I156" s="5"/>
      <c r="J156" s="6"/>
      <c r="K156" s="3"/>
      <c r="L156" s="6"/>
      <c r="M156" s="6" t="str">
        <f>IF(OR(K156="",K156="Pending"),"",L156-J156)</f>
        <v> </v>
      </c>
      <c r="N156" s="6" t="str">
        <f>IF(M156="","",'Summary'!$B$4+SUM($M$2:M156))</f>
        <v> </v>
      </c>
    </row>
    <row r="157" spans="1:14">
      <c r="A157" s="2"/>
      <c r="B157" s="3"/>
      <c r="C157" s="3"/>
      <c r="D157" s="3"/>
      <c r="E157" s="3"/>
      <c r="F157" s="3"/>
      <c r="G157" s="3"/>
      <c r="H157" s="4"/>
      <c r="I157" s="5"/>
      <c r="J157" s="6"/>
      <c r="K157" s="3"/>
      <c r="L157" s="6"/>
      <c r="M157" s="6" t="str">
        <f>IF(OR(K157="",K157="Pending"),"",L157-J157)</f>
        <v> </v>
      </c>
      <c r="N157" s="6" t="str">
        <f>IF(M157="","",'Summary'!$B$4+SUM($M$2:M157))</f>
        <v> </v>
      </c>
    </row>
    <row r="158" spans="1:14">
      <c r="A158" s="2"/>
      <c r="B158" s="3"/>
      <c r="C158" s="3"/>
      <c r="D158" s="3"/>
      <c r="E158" s="3"/>
      <c r="F158" s="3"/>
      <c r="G158" s="3"/>
      <c r="H158" s="4"/>
      <c r="I158" s="5"/>
      <c r="J158" s="6"/>
      <c r="K158" s="3"/>
      <c r="L158" s="6"/>
      <c r="M158" s="6" t="str">
        <f>IF(OR(K158="",K158="Pending"),"",L158-J158)</f>
        <v> </v>
      </c>
      <c r="N158" s="6" t="str">
        <f>IF(M158="","",'Summary'!$B$4+SUM($M$2:M158))</f>
        <v> </v>
      </c>
    </row>
    <row r="159" spans="1:14">
      <c r="A159" s="2"/>
      <c r="B159" s="3"/>
      <c r="C159" s="3"/>
      <c r="D159" s="3"/>
      <c r="E159" s="3"/>
      <c r="F159" s="3"/>
      <c r="G159" s="3"/>
      <c r="H159" s="4"/>
      <c r="I159" s="5"/>
      <c r="J159" s="6"/>
      <c r="K159" s="3"/>
      <c r="L159" s="6"/>
      <c r="M159" s="6" t="str">
        <f>IF(OR(K159="",K159="Pending"),"",L159-J159)</f>
        <v> </v>
      </c>
      <c r="N159" s="6" t="str">
        <f>IF(M159="","",'Summary'!$B$4+SUM($M$2:M159))</f>
        <v> </v>
      </c>
    </row>
    <row r="160" spans="1:14">
      <c r="A160" s="2"/>
      <c r="B160" s="3"/>
      <c r="C160" s="3"/>
      <c r="D160" s="3"/>
      <c r="E160" s="3"/>
      <c r="F160" s="3"/>
      <c r="G160" s="3"/>
      <c r="H160" s="4"/>
      <c r="I160" s="5"/>
      <c r="J160" s="6"/>
      <c r="K160" s="3"/>
      <c r="L160" s="6"/>
      <c r="M160" s="6" t="str">
        <f>IF(OR(K160="",K160="Pending"),"",L160-J160)</f>
        <v> </v>
      </c>
      <c r="N160" s="6" t="str">
        <f>IF(M160="","",'Summary'!$B$4+SUM($M$2:M160))</f>
        <v> </v>
      </c>
    </row>
    <row r="161" spans="1:14">
      <c r="A161" s="2"/>
      <c r="B161" s="3"/>
      <c r="C161" s="3"/>
      <c r="D161" s="3"/>
      <c r="E161" s="3"/>
      <c r="F161" s="3"/>
      <c r="G161" s="3"/>
      <c r="H161" s="4"/>
      <c r="I161" s="5"/>
      <c r="J161" s="6"/>
      <c r="K161" s="3"/>
      <c r="L161" s="6"/>
      <c r="M161" s="6" t="str">
        <f>IF(OR(K161="",K161="Pending"),"",L161-J161)</f>
        <v> </v>
      </c>
      <c r="N161" s="6" t="str">
        <f>IF(M161="","",'Summary'!$B$4+SUM($M$2:M161))</f>
        <v> </v>
      </c>
    </row>
    <row r="162" spans="1:14">
      <c r="A162" s="2"/>
      <c r="B162" s="3"/>
      <c r="C162" s="3"/>
      <c r="D162" s="3"/>
      <c r="E162" s="3"/>
      <c r="F162" s="3"/>
      <c r="G162" s="3"/>
      <c r="H162" s="4"/>
      <c r="I162" s="5"/>
      <c r="J162" s="6"/>
      <c r="K162" s="3"/>
      <c r="L162" s="6"/>
      <c r="M162" s="6" t="str">
        <f>IF(OR(K162="",K162="Pending"),"",L162-J162)</f>
        <v> </v>
      </c>
      <c r="N162" s="6" t="str">
        <f>IF(M162="","",'Summary'!$B$4+SUM($M$2:M162))</f>
        <v> </v>
      </c>
    </row>
    <row r="163" spans="1:14">
      <c r="A163" s="2"/>
      <c r="B163" s="3"/>
      <c r="C163" s="3"/>
      <c r="D163" s="3"/>
      <c r="E163" s="3"/>
      <c r="F163" s="3"/>
      <c r="G163" s="3"/>
      <c r="H163" s="4"/>
      <c r="I163" s="5"/>
      <c r="J163" s="6"/>
      <c r="K163" s="3"/>
      <c r="L163" s="6"/>
      <c r="M163" s="6" t="str">
        <f>IF(OR(K163="",K163="Pending"),"",L163-J163)</f>
        <v> </v>
      </c>
      <c r="N163" s="6" t="str">
        <f>IF(M163="","",'Summary'!$B$4+SUM($M$2:M163))</f>
        <v> </v>
      </c>
    </row>
    <row r="164" spans="1:14">
      <c r="A164" s="2"/>
      <c r="B164" s="3"/>
      <c r="C164" s="3"/>
      <c r="D164" s="3"/>
      <c r="E164" s="3"/>
      <c r="F164" s="3"/>
      <c r="G164" s="3"/>
      <c r="H164" s="4"/>
      <c r="I164" s="5"/>
      <c r="J164" s="6"/>
      <c r="K164" s="3"/>
      <c r="L164" s="6"/>
      <c r="M164" s="6" t="str">
        <f>IF(OR(K164="",K164="Pending"),"",L164-J164)</f>
        <v> </v>
      </c>
      <c r="N164" s="6" t="str">
        <f>IF(M164="","",'Summary'!$B$4+SUM($M$2:M164))</f>
        <v> </v>
      </c>
    </row>
    <row r="165" spans="1:14">
      <c r="A165" s="2"/>
      <c r="B165" s="3"/>
      <c r="C165" s="3"/>
      <c r="D165" s="3"/>
      <c r="E165" s="3"/>
      <c r="F165" s="3"/>
      <c r="G165" s="3"/>
      <c r="H165" s="4"/>
      <c r="I165" s="5"/>
      <c r="J165" s="6"/>
      <c r="K165" s="3"/>
      <c r="L165" s="6"/>
      <c r="M165" s="6" t="str">
        <f>IF(OR(K165="",K165="Pending"),"",L165-J165)</f>
        <v> </v>
      </c>
      <c r="N165" s="6" t="str">
        <f>IF(M165="","",'Summary'!$B$4+SUM($M$2:M165))</f>
        <v> </v>
      </c>
    </row>
    <row r="166" spans="1:14">
      <c r="A166" s="2"/>
      <c r="B166" s="3"/>
      <c r="C166" s="3"/>
      <c r="D166" s="3"/>
      <c r="E166" s="3"/>
      <c r="F166" s="3"/>
      <c r="G166" s="3"/>
      <c r="H166" s="4"/>
      <c r="I166" s="5"/>
      <c r="J166" s="6"/>
      <c r="K166" s="3"/>
      <c r="L166" s="6"/>
      <c r="M166" s="6" t="str">
        <f>IF(OR(K166="",K166="Pending"),"",L166-J166)</f>
        <v> </v>
      </c>
      <c r="N166" s="6" t="str">
        <f>IF(M166="","",'Summary'!$B$4+SUM($M$2:M166))</f>
        <v> </v>
      </c>
    </row>
    <row r="167" spans="1:14">
      <c r="A167" s="2"/>
      <c r="B167" s="3"/>
      <c r="C167" s="3"/>
      <c r="D167" s="3"/>
      <c r="E167" s="3"/>
      <c r="F167" s="3"/>
      <c r="G167" s="3"/>
      <c r="H167" s="4"/>
      <c r="I167" s="5"/>
      <c r="J167" s="6"/>
      <c r="K167" s="3"/>
      <c r="L167" s="6"/>
      <c r="M167" s="6" t="str">
        <f>IF(OR(K167="",K167="Pending"),"",L167-J167)</f>
        <v> </v>
      </c>
      <c r="N167" s="6" t="str">
        <f>IF(M167="","",'Summary'!$B$4+SUM($M$2:M167))</f>
        <v> </v>
      </c>
    </row>
    <row r="168" spans="1:14">
      <c r="A168" s="2"/>
      <c r="B168" s="3"/>
      <c r="C168" s="3"/>
      <c r="D168" s="3"/>
      <c r="E168" s="3"/>
      <c r="F168" s="3"/>
      <c r="G168" s="3"/>
      <c r="H168" s="4"/>
      <c r="I168" s="5"/>
      <c r="J168" s="6"/>
      <c r="K168" s="3"/>
      <c r="L168" s="6"/>
      <c r="M168" s="6" t="str">
        <f>IF(OR(K168="",K168="Pending"),"",L168-J168)</f>
        <v> </v>
      </c>
      <c r="N168" s="6" t="str">
        <f>IF(M168="","",'Summary'!$B$4+SUM($M$2:M168))</f>
        <v> </v>
      </c>
    </row>
    <row r="169" spans="1:14">
      <c r="A169" s="2"/>
      <c r="B169" s="3"/>
      <c r="C169" s="3"/>
      <c r="D169" s="3"/>
      <c r="E169" s="3"/>
      <c r="F169" s="3"/>
      <c r="G169" s="3"/>
      <c r="H169" s="4"/>
      <c r="I169" s="5"/>
      <c r="J169" s="6"/>
      <c r="K169" s="3"/>
      <c r="L169" s="6"/>
      <c r="M169" s="6" t="str">
        <f>IF(OR(K169="",K169="Pending"),"",L169-J169)</f>
        <v> </v>
      </c>
      <c r="N169" s="6" t="str">
        <f>IF(M169="","",'Summary'!$B$4+SUM($M$2:M169))</f>
        <v> </v>
      </c>
    </row>
    <row r="170" spans="1:14">
      <c r="A170" s="2"/>
      <c r="B170" s="3"/>
      <c r="C170" s="3"/>
      <c r="D170" s="3"/>
      <c r="E170" s="3"/>
      <c r="F170" s="3"/>
      <c r="G170" s="3"/>
      <c r="H170" s="4"/>
      <c r="I170" s="5"/>
      <c r="J170" s="6"/>
      <c r="K170" s="3"/>
      <c r="L170" s="6"/>
      <c r="M170" s="6" t="str">
        <f>IF(OR(K170="",K170="Pending"),"",L170-J170)</f>
        <v> </v>
      </c>
      <c r="N170" s="6" t="str">
        <f>IF(M170="","",'Summary'!$B$4+SUM($M$2:M170))</f>
        <v> </v>
      </c>
    </row>
    <row r="171" spans="1:14">
      <c r="A171" s="2"/>
      <c r="B171" s="3"/>
      <c r="C171" s="3"/>
      <c r="D171" s="3"/>
      <c r="E171" s="3"/>
      <c r="F171" s="3"/>
      <c r="G171" s="3"/>
      <c r="H171" s="4"/>
      <c r="I171" s="5"/>
      <c r="J171" s="6"/>
      <c r="K171" s="3"/>
      <c r="L171" s="6"/>
      <c r="M171" s="6" t="str">
        <f>IF(OR(K171="",K171="Pending"),"",L171-J171)</f>
        <v> </v>
      </c>
      <c r="N171" s="6" t="str">
        <f>IF(M171="","",'Summary'!$B$4+SUM($M$2:M171))</f>
        <v> </v>
      </c>
    </row>
    <row r="172" spans="1:14">
      <c r="A172" s="2"/>
      <c r="B172" s="3"/>
      <c r="C172" s="3"/>
      <c r="D172" s="3"/>
      <c r="E172" s="3"/>
      <c r="F172" s="3"/>
      <c r="G172" s="3"/>
      <c r="H172" s="4"/>
      <c r="I172" s="5"/>
      <c r="J172" s="6"/>
      <c r="K172" s="3"/>
      <c r="L172" s="6"/>
      <c r="M172" s="6" t="str">
        <f>IF(OR(K172="",K172="Pending"),"",L172-J172)</f>
        <v> </v>
      </c>
      <c r="N172" s="6" t="str">
        <f>IF(M172="","",'Summary'!$B$4+SUM($M$2:M172))</f>
        <v> </v>
      </c>
    </row>
    <row r="173" spans="1:14">
      <c r="A173" s="2"/>
      <c r="B173" s="3"/>
      <c r="C173" s="3"/>
      <c r="D173" s="3"/>
      <c r="E173" s="3"/>
      <c r="F173" s="3"/>
      <c r="G173" s="3"/>
      <c r="H173" s="4"/>
      <c r="I173" s="5"/>
      <c r="J173" s="6"/>
      <c r="K173" s="3"/>
      <c r="L173" s="6"/>
      <c r="M173" s="6" t="str">
        <f>IF(OR(K173="",K173="Pending"),"",L173-J173)</f>
        <v> </v>
      </c>
      <c r="N173" s="6" t="str">
        <f>IF(M173="","",'Summary'!$B$4+SUM($M$2:M173))</f>
        <v> </v>
      </c>
    </row>
    <row r="174" spans="1:14">
      <c r="A174" s="2"/>
      <c r="B174" s="3"/>
      <c r="C174" s="3"/>
      <c r="D174" s="3"/>
      <c r="E174" s="3"/>
      <c r="F174" s="3"/>
      <c r="G174" s="3"/>
      <c r="H174" s="4"/>
      <c r="I174" s="5"/>
      <c r="J174" s="6"/>
      <c r="K174" s="3"/>
      <c r="L174" s="6"/>
      <c r="M174" s="6" t="str">
        <f>IF(OR(K174="",K174="Pending"),"",L174-J174)</f>
        <v> </v>
      </c>
      <c r="N174" s="6" t="str">
        <f>IF(M174="","",'Summary'!$B$4+SUM($M$2:M174))</f>
        <v> </v>
      </c>
    </row>
    <row r="175" spans="1:14">
      <c r="A175" s="2"/>
      <c r="B175" s="3"/>
      <c r="C175" s="3"/>
      <c r="D175" s="3"/>
      <c r="E175" s="3"/>
      <c r="F175" s="3"/>
      <c r="G175" s="3"/>
      <c r="H175" s="4"/>
      <c r="I175" s="5"/>
      <c r="J175" s="6"/>
      <c r="K175" s="3"/>
      <c r="L175" s="6"/>
      <c r="M175" s="6" t="str">
        <f>IF(OR(K175="",K175="Pending"),"",L175-J175)</f>
        <v> </v>
      </c>
      <c r="N175" s="6" t="str">
        <f>IF(M175="","",'Summary'!$B$4+SUM($M$2:M175))</f>
        <v> </v>
      </c>
    </row>
    <row r="176" spans="1:14">
      <c r="A176" s="2"/>
      <c r="B176" s="3"/>
      <c r="C176" s="3"/>
      <c r="D176" s="3"/>
      <c r="E176" s="3"/>
      <c r="F176" s="3"/>
      <c r="G176" s="3"/>
      <c r="H176" s="4"/>
      <c r="I176" s="5"/>
      <c r="J176" s="6"/>
      <c r="K176" s="3"/>
      <c r="L176" s="6"/>
      <c r="M176" s="6" t="str">
        <f>IF(OR(K176="",K176="Pending"),"",L176-J176)</f>
        <v> </v>
      </c>
      <c r="N176" s="6" t="str">
        <f>IF(M176="","",'Summary'!$B$4+SUM($M$2:M176))</f>
        <v> </v>
      </c>
    </row>
    <row r="177" spans="1:14">
      <c r="A177" s="2"/>
      <c r="B177" s="3"/>
      <c r="C177" s="3"/>
      <c r="D177" s="3"/>
      <c r="E177" s="3"/>
      <c r="F177" s="3"/>
      <c r="G177" s="3"/>
      <c r="H177" s="4"/>
      <c r="I177" s="5"/>
      <c r="J177" s="6"/>
      <c r="K177" s="3"/>
      <c r="L177" s="6"/>
      <c r="M177" s="6" t="str">
        <f>IF(OR(K177="",K177="Pending"),"",L177-J177)</f>
        <v> </v>
      </c>
      <c r="N177" s="6" t="str">
        <f>IF(M177="","",'Summary'!$B$4+SUM($M$2:M177))</f>
        <v> </v>
      </c>
    </row>
    <row r="178" spans="1:14">
      <c r="A178" s="2"/>
      <c r="B178" s="3"/>
      <c r="C178" s="3"/>
      <c r="D178" s="3"/>
      <c r="E178" s="3"/>
      <c r="F178" s="3"/>
      <c r="G178" s="3"/>
      <c r="H178" s="4"/>
      <c r="I178" s="5"/>
      <c r="J178" s="6"/>
      <c r="K178" s="3"/>
      <c r="L178" s="6"/>
      <c r="M178" s="6" t="str">
        <f>IF(OR(K178="",K178="Pending"),"",L178-J178)</f>
        <v> </v>
      </c>
      <c r="N178" s="6" t="str">
        <f>IF(M178="","",'Summary'!$B$4+SUM($M$2:M178))</f>
        <v> </v>
      </c>
    </row>
    <row r="179" spans="1:14">
      <c r="A179" s="2"/>
      <c r="B179" s="3"/>
      <c r="C179" s="3"/>
      <c r="D179" s="3"/>
      <c r="E179" s="3"/>
      <c r="F179" s="3"/>
      <c r="G179" s="3"/>
      <c r="H179" s="4"/>
      <c r="I179" s="5"/>
      <c r="J179" s="6"/>
      <c r="K179" s="3"/>
      <c r="L179" s="6"/>
      <c r="M179" s="6" t="str">
        <f>IF(OR(K179="",K179="Pending"),"",L179-J179)</f>
        <v> </v>
      </c>
      <c r="N179" s="6" t="str">
        <f>IF(M179="","",'Summary'!$B$4+SUM($M$2:M179))</f>
        <v> </v>
      </c>
    </row>
    <row r="180" spans="1:14">
      <c r="A180" s="2"/>
      <c r="B180" s="3"/>
      <c r="C180" s="3"/>
      <c r="D180" s="3"/>
      <c r="E180" s="3"/>
      <c r="F180" s="3"/>
      <c r="G180" s="3"/>
      <c r="H180" s="4"/>
      <c r="I180" s="5"/>
      <c r="J180" s="6"/>
      <c r="K180" s="3"/>
      <c r="L180" s="6"/>
      <c r="M180" s="6" t="str">
        <f>IF(OR(K180="",K180="Pending"),"",L180-J180)</f>
        <v> </v>
      </c>
      <c r="N180" s="6" t="str">
        <f>IF(M180="","",'Summary'!$B$4+SUM($M$2:M180))</f>
        <v> </v>
      </c>
    </row>
    <row r="181" spans="1:14">
      <c r="A181" s="2"/>
      <c r="B181" s="3"/>
      <c r="C181" s="3"/>
      <c r="D181" s="3"/>
      <c r="E181" s="3"/>
      <c r="F181" s="3"/>
      <c r="G181" s="3"/>
      <c r="H181" s="4"/>
      <c r="I181" s="5"/>
      <c r="J181" s="6"/>
      <c r="K181" s="3"/>
      <c r="L181" s="6"/>
      <c r="M181" s="6" t="str">
        <f>IF(OR(K181="",K181="Pending"),"",L181-J181)</f>
        <v> </v>
      </c>
      <c r="N181" s="6" t="str">
        <f>IF(M181="","",'Summary'!$B$4+SUM($M$2:M181))</f>
        <v> </v>
      </c>
    </row>
    <row r="182" spans="1:14">
      <c r="A182" s="2"/>
      <c r="B182" s="3"/>
      <c r="C182" s="3"/>
      <c r="D182" s="3"/>
      <c r="E182" s="3"/>
      <c r="F182" s="3"/>
      <c r="G182" s="3"/>
      <c r="H182" s="4"/>
      <c r="I182" s="5"/>
      <c r="J182" s="6"/>
      <c r="K182" s="3"/>
      <c r="L182" s="6"/>
      <c r="M182" s="6" t="str">
        <f>IF(OR(K182="",K182="Pending"),"",L182-J182)</f>
        <v> </v>
      </c>
      <c r="N182" s="6" t="str">
        <f>IF(M182="","",'Summary'!$B$4+SUM($M$2:M182))</f>
        <v> </v>
      </c>
    </row>
    <row r="183" spans="1:14">
      <c r="A183" s="2"/>
      <c r="B183" s="3"/>
      <c r="C183" s="3"/>
      <c r="D183" s="3"/>
      <c r="E183" s="3"/>
      <c r="F183" s="3"/>
      <c r="G183" s="3"/>
      <c r="H183" s="4"/>
      <c r="I183" s="5"/>
      <c r="J183" s="6"/>
      <c r="K183" s="3"/>
      <c r="L183" s="6"/>
      <c r="M183" s="6" t="str">
        <f>IF(OR(K183="",K183="Pending"),"",L183-J183)</f>
        <v> </v>
      </c>
      <c r="N183" s="6" t="str">
        <f>IF(M183="","",'Summary'!$B$4+SUM($M$2:M183))</f>
        <v> </v>
      </c>
    </row>
    <row r="184" spans="1:14">
      <c r="A184" s="2"/>
      <c r="B184" s="3"/>
      <c r="C184" s="3"/>
      <c r="D184" s="3"/>
      <c r="E184" s="3"/>
      <c r="F184" s="3"/>
      <c r="G184" s="3"/>
      <c r="H184" s="4"/>
      <c r="I184" s="5"/>
      <c r="J184" s="6"/>
      <c r="K184" s="3"/>
      <c r="L184" s="6"/>
      <c r="M184" s="6" t="str">
        <f>IF(OR(K184="",K184="Pending"),"",L184-J184)</f>
        <v> </v>
      </c>
      <c r="N184" s="6" t="str">
        <f>IF(M184="","",'Summary'!$B$4+SUM($M$2:M184))</f>
        <v> </v>
      </c>
    </row>
    <row r="185" spans="1:14">
      <c r="A185" s="2"/>
      <c r="B185" s="3"/>
      <c r="C185" s="3"/>
      <c r="D185" s="3"/>
      <c r="E185" s="3"/>
      <c r="F185" s="3"/>
      <c r="G185" s="3"/>
      <c r="H185" s="4"/>
      <c r="I185" s="5"/>
      <c r="J185" s="6"/>
      <c r="K185" s="3"/>
      <c r="L185" s="6"/>
      <c r="M185" s="6" t="str">
        <f>IF(OR(K185="",K185="Pending"),"",L185-J185)</f>
        <v> </v>
      </c>
      <c r="N185" s="6" t="str">
        <f>IF(M185="","",'Summary'!$B$4+SUM($M$2:M185))</f>
        <v> </v>
      </c>
    </row>
    <row r="186" spans="1:14">
      <c r="A186" s="2"/>
      <c r="B186" s="3"/>
      <c r="C186" s="3"/>
      <c r="D186" s="3"/>
      <c r="E186" s="3"/>
      <c r="F186" s="3"/>
      <c r="G186" s="3"/>
      <c r="H186" s="4"/>
      <c r="I186" s="5"/>
      <c r="J186" s="6"/>
      <c r="K186" s="3"/>
      <c r="L186" s="6"/>
      <c r="M186" s="6" t="str">
        <f>IF(OR(K186="",K186="Pending"),"",L186-J186)</f>
        <v> </v>
      </c>
      <c r="N186" s="6" t="str">
        <f>IF(M186="","",'Summary'!$B$4+SUM($M$2:M186))</f>
        <v> </v>
      </c>
    </row>
    <row r="187" spans="1:14">
      <c r="A187" s="2"/>
      <c r="B187" s="3"/>
      <c r="C187" s="3"/>
      <c r="D187" s="3"/>
      <c r="E187" s="3"/>
      <c r="F187" s="3"/>
      <c r="G187" s="3"/>
      <c r="H187" s="4"/>
      <c r="I187" s="5"/>
      <c r="J187" s="6"/>
      <c r="K187" s="3"/>
      <c r="L187" s="6"/>
      <c r="M187" s="6" t="str">
        <f>IF(OR(K187="",K187="Pending"),"",L187-J187)</f>
        <v> </v>
      </c>
      <c r="N187" s="6" t="str">
        <f>IF(M187="","",'Summary'!$B$4+SUM($M$2:M187))</f>
        <v> </v>
      </c>
    </row>
    <row r="188" spans="1:14">
      <c r="A188" s="2"/>
      <c r="B188" s="3"/>
      <c r="C188" s="3"/>
      <c r="D188" s="3"/>
      <c r="E188" s="3"/>
      <c r="F188" s="3"/>
      <c r="G188" s="3"/>
      <c r="H188" s="4"/>
      <c r="I188" s="5"/>
      <c r="J188" s="6"/>
      <c r="K188" s="3"/>
      <c r="L188" s="6"/>
      <c r="M188" s="6" t="str">
        <f>IF(OR(K188="",K188="Pending"),"",L188-J188)</f>
        <v> </v>
      </c>
      <c r="N188" s="6" t="str">
        <f>IF(M188="","",'Summary'!$B$4+SUM($M$2:M188))</f>
        <v> </v>
      </c>
    </row>
    <row r="189" spans="1:14">
      <c r="A189" s="2"/>
      <c r="B189" s="3"/>
      <c r="C189" s="3"/>
      <c r="D189" s="3"/>
      <c r="E189" s="3"/>
      <c r="F189" s="3"/>
      <c r="G189" s="3"/>
      <c r="H189" s="4"/>
      <c r="I189" s="5"/>
      <c r="J189" s="6"/>
      <c r="K189" s="3"/>
      <c r="L189" s="6"/>
      <c r="M189" s="6" t="str">
        <f>IF(OR(K189="",K189="Pending"),"",L189-J189)</f>
        <v> </v>
      </c>
      <c r="N189" s="6" t="str">
        <f>IF(M189="","",'Summary'!$B$4+SUM($M$2:M189))</f>
        <v> </v>
      </c>
    </row>
    <row r="190" spans="1:14">
      <c r="A190" s="2"/>
      <c r="B190" s="3"/>
      <c r="C190" s="3"/>
      <c r="D190" s="3"/>
      <c r="E190" s="3"/>
      <c r="F190" s="3"/>
      <c r="G190" s="3"/>
      <c r="H190" s="4"/>
      <c r="I190" s="5"/>
      <c r="J190" s="6"/>
      <c r="K190" s="3"/>
      <c r="L190" s="6"/>
      <c r="M190" s="6" t="str">
        <f>IF(OR(K190="",K190="Pending"),"",L190-J190)</f>
        <v> </v>
      </c>
      <c r="N190" s="6" t="str">
        <f>IF(M190="","",'Summary'!$B$4+SUM($M$2:M190))</f>
        <v> </v>
      </c>
    </row>
    <row r="191" spans="1:14">
      <c r="A191" s="2"/>
      <c r="B191" s="3"/>
      <c r="C191" s="3"/>
      <c r="D191" s="3"/>
      <c r="E191" s="3"/>
      <c r="F191" s="3"/>
      <c r="G191" s="3"/>
      <c r="H191" s="4"/>
      <c r="I191" s="5"/>
      <c r="J191" s="6"/>
      <c r="K191" s="3"/>
      <c r="L191" s="6"/>
      <c r="M191" s="6" t="str">
        <f>IF(OR(K191="",K191="Pending"),"",L191-J191)</f>
        <v> </v>
      </c>
      <c r="N191" s="6" t="str">
        <f>IF(M191="","",'Summary'!$B$4+SUM($M$2:M191))</f>
        <v> </v>
      </c>
    </row>
    <row r="192" spans="1:14">
      <c r="A192" s="2"/>
      <c r="B192" s="3"/>
      <c r="C192" s="3"/>
      <c r="D192" s="3"/>
      <c r="E192" s="3"/>
      <c r="F192" s="3"/>
      <c r="G192" s="3"/>
      <c r="H192" s="4"/>
      <c r="I192" s="5"/>
      <c r="J192" s="6"/>
      <c r="K192" s="3"/>
      <c r="L192" s="6"/>
      <c r="M192" s="6" t="str">
        <f>IF(OR(K192="",K192="Pending"),"",L192-J192)</f>
        <v> </v>
      </c>
      <c r="N192" s="6" t="str">
        <f>IF(M192="","",'Summary'!$B$4+SUM($M$2:M192))</f>
        <v> </v>
      </c>
    </row>
    <row r="193" spans="1:14">
      <c r="A193" s="2"/>
      <c r="B193" s="3"/>
      <c r="C193" s="3"/>
      <c r="D193" s="3"/>
      <c r="E193" s="3"/>
      <c r="F193" s="3"/>
      <c r="G193" s="3"/>
      <c r="H193" s="4"/>
      <c r="I193" s="5"/>
      <c r="J193" s="6"/>
      <c r="K193" s="3"/>
      <c r="L193" s="6"/>
      <c r="M193" s="6" t="str">
        <f>IF(OR(K193="",K193="Pending"),"",L193-J193)</f>
        <v> </v>
      </c>
      <c r="N193" s="6" t="str">
        <f>IF(M193="","",'Summary'!$B$4+SUM($M$2:M193))</f>
        <v> </v>
      </c>
    </row>
    <row r="194" spans="1:14">
      <c r="A194" s="2"/>
      <c r="B194" s="3"/>
      <c r="C194" s="3"/>
      <c r="D194" s="3"/>
      <c r="E194" s="3"/>
      <c r="F194" s="3"/>
      <c r="G194" s="3"/>
      <c r="H194" s="4"/>
      <c r="I194" s="5"/>
      <c r="J194" s="6"/>
      <c r="K194" s="3"/>
      <c r="L194" s="6"/>
      <c r="M194" s="6" t="str">
        <f>IF(OR(K194="",K194="Pending"),"",L194-J194)</f>
        <v> </v>
      </c>
      <c r="N194" s="6" t="str">
        <f>IF(M194="","",'Summary'!$B$4+SUM($M$2:M194))</f>
        <v> </v>
      </c>
    </row>
    <row r="195" spans="1:14">
      <c r="A195" s="2"/>
      <c r="B195" s="3"/>
      <c r="C195" s="3"/>
      <c r="D195" s="3"/>
      <c r="E195" s="3"/>
      <c r="F195" s="3"/>
      <c r="G195" s="3"/>
      <c r="H195" s="4"/>
      <c r="I195" s="5"/>
      <c r="J195" s="6"/>
      <c r="K195" s="3"/>
      <c r="L195" s="6"/>
      <c r="M195" s="6" t="str">
        <f>IF(OR(K195="",K195="Pending"),"",L195-J195)</f>
        <v> </v>
      </c>
      <c r="N195" s="6" t="str">
        <f>IF(M195="","",'Summary'!$B$4+SUM($M$2:M195))</f>
        <v> </v>
      </c>
    </row>
    <row r="196" spans="1:14">
      <c r="A196" s="2"/>
      <c r="B196" s="3"/>
      <c r="C196" s="3"/>
      <c r="D196" s="3"/>
      <c r="E196" s="3"/>
      <c r="F196" s="3"/>
      <c r="G196" s="3"/>
      <c r="H196" s="4"/>
      <c r="I196" s="5"/>
      <c r="J196" s="6"/>
      <c r="K196" s="3"/>
      <c r="L196" s="6"/>
      <c r="M196" s="6" t="str">
        <f>IF(OR(K196="",K196="Pending"),"",L196-J196)</f>
        <v> </v>
      </c>
      <c r="N196" s="6" t="str">
        <f>IF(M196="","",'Summary'!$B$4+SUM($M$2:M196))</f>
        <v> </v>
      </c>
    </row>
    <row r="197" spans="1:14">
      <c r="A197" s="2"/>
      <c r="B197" s="3"/>
      <c r="C197" s="3"/>
      <c r="D197" s="3"/>
      <c r="E197" s="3"/>
      <c r="F197" s="3"/>
      <c r="G197" s="3"/>
      <c r="H197" s="4"/>
      <c r="I197" s="5"/>
      <c r="J197" s="6"/>
      <c r="K197" s="3"/>
      <c r="L197" s="6"/>
      <c r="M197" s="6" t="str">
        <f>IF(OR(K197="",K197="Pending"),"",L197-J197)</f>
        <v> </v>
      </c>
      <c r="N197" s="6" t="str">
        <f>IF(M197="","",'Summary'!$B$4+SUM($M$2:M197))</f>
        <v> </v>
      </c>
    </row>
    <row r="198" spans="1:14">
      <c r="A198" s="2"/>
      <c r="B198" s="3"/>
      <c r="C198" s="3"/>
      <c r="D198" s="3"/>
      <c r="E198" s="3"/>
      <c r="F198" s="3"/>
      <c r="G198" s="3"/>
      <c r="H198" s="4"/>
      <c r="I198" s="5"/>
      <c r="J198" s="6"/>
      <c r="K198" s="3"/>
      <c r="L198" s="6"/>
      <c r="M198" s="6" t="str">
        <f>IF(OR(K198="",K198="Pending"),"",L198-J198)</f>
        <v> </v>
      </c>
      <c r="N198" s="6" t="str">
        <f>IF(M198="","",'Summary'!$B$4+SUM($M$2:M198))</f>
        <v> </v>
      </c>
    </row>
    <row r="199" spans="1:14">
      <c r="A199" s="2"/>
      <c r="B199" s="3"/>
      <c r="C199" s="3"/>
      <c r="D199" s="3"/>
      <c r="E199" s="3"/>
      <c r="F199" s="3"/>
      <c r="G199" s="3"/>
      <c r="H199" s="4"/>
      <c r="I199" s="5"/>
      <c r="J199" s="6"/>
      <c r="K199" s="3"/>
      <c r="L199" s="6"/>
      <c r="M199" s="6" t="str">
        <f>IF(OR(K199="",K199="Pending"),"",L199-J199)</f>
        <v> </v>
      </c>
      <c r="N199" s="6" t="str">
        <f>IF(M199="","",'Summary'!$B$4+SUM($M$2:M199))</f>
        <v> </v>
      </c>
    </row>
    <row r="200" spans="1:14">
      <c r="A200" s="2"/>
      <c r="B200" s="3"/>
      <c r="C200" s="3"/>
      <c r="D200" s="3"/>
      <c r="E200" s="3"/>
      <c r="F200" s="3"/>
      <c r="G200" s="3"/>
      <c r="H200" s="4"/>
      <c r="I200" s="5"/>
      <c r="J200" s="6"/>
      <c r="K200" s="3"/>
      <c r="L200" s="6"/>
      <c r="M200" s="6" t="str">
        <f>IF(OR(K200="",K200="Pending"),"",L200-J200)</f>
        <v> </v>
      </c>
      <c r="N200" s="6" t="str">
        <f>IF(M200="","",'Summary'!$B$4+SUM($M$2:M200))</f>
        <v> </v>
      </c>
    </row>
    <row r="201" spans="1:14">
      <c r="A201" s="2"/>
      <c r="B201" s="3"/>
      <c r="C201" s="3"/>
      <c r="D201" s="3"/>
      <c r="E201" s="3"/>
      <c r="F201" s="3"/>
      <c r="G201" s="3"/>
      <c r="H201" s="4"/>
      <c r="I201" s="5"/>
      <c r="J201" s="6"/>
      <c r="K201" s="3"/>
      <c r="L201" s="6"/>
      <c r="M201" s="6" t="str">
        <f>IF(OR(K201="",K201="Pending"),"",L201-J201)</f>
        <v> </v>
      </c>
      <c r="N201" s="6" t="str">
        <f>IF(M201="","",'Summary'!$B$4+SUM($M$2:M201))</f>
        <v> </v>
      </c>
    </row>
    <row r="202" spans="1:14">
      <c r="A202" s="2"/>
      <c r="B202" s="3"/>
      <c r="C202" s="3"/>
      <c r="D202" s="3"/>
      <c r="E202" s="3"/>
      <c r="F202" s="3"/>
      <c r="G202" s="3"/>
      <c r="H202" s="4"/>
      <c r="I202" s="5"/>
      <c r="J202" s="6"/>
      <c r="K202" s="3"/>
      <c r="L202" s="6"/>
      <c r="M202" s="6" t="str">
        <f>IF(OR(K202="",K202="Pending"),"",L202-J202)</f>
        <v> </v>
      </c>
      <c r="N202" s="6" t="str">
        <f>IF(M202="","",'Summary'!$B$4+SUM($M$2:M202))</f>
        <v> </v>
      </c>
    </row>
    <row r="203" spans="1:14">
      <c r="A203" s="2"/>
      <c r="B203" s="3"/>
      <c r="C203" s="3"/>
      <c r="D203" s="3"/>
      <c r="E203" s="3"/>
      <c r="F203" s="3"/>
      <c r="G203" s="3"/>
      <c r="H203" s="4"/>
      <c r="I203" s="5"/>
      <c r="J203" s="6"/>
      <c r="K203" s="3"/>
      <c r="L203" s="6"/>
      <c r="M203" s="6" t="str">
        <f>IF(OR(K203="",K203="Pending"),"",L203-J203)</f>
        <v> </v>
      </c>
      <c r="N203" s="6" t="str">
        <f>IF(M203="","",'Summary'!$B$4+SUM($M$2:M203))</f>
        <v> </v>
      </c>
    </row>
    <row r="204" spans="1:14">
      <c r="A204" s="2"/>
      <c r="B204" s="3"/>
      <c r="C204" s="3"/>
      <c r="D204" s="3"/>
      <c r="E204" s="3"/>
      <c r="F204" s="3"/>
      <c r="G204" s="3"/>
      <c r="H204" s="4"/>
      <c r="I204" s="5"/>
      <c r="J204" s="6"/>
      <c r="K204" s="3"/>
      <c r="L204" s="6"/>
      <c r="M204" s="6" t="str">
        <f>IF(OR(K204="",K204="Pending"),"",L204-J204)</f>
        <v> </v>
      </c>
      <c r="N204" s="6" t="str">
        <f>IF(M204="","",'Summary'!$B$4+SUM($M$2:M204))</f>
        <v> </v>
      </c>
    </row>
    <row r="205" spans="1:14">
      <c r="A205" s="2"/>
      <c r="B205" s="3"/>
      <c r="C205" s="3"/>
      <c r="D205" s="3"/>
      <c r="E205" s="3"/>
      <c r="F205" s="3"/>
      <c r="G205" s="3"/>
      <c r="H205" s="4"/>
      <c r="I205" s="5"/>
      <c r="J205" s="6"/>
      <c r="K205" s="3"/>
      <c r="L205" s="6"/>
      <c r="M205" s="6" t="str">
        <f>IF(OR(K205="",K205="Pending"),"",L205-J205)</f>
        <v> </v>
      </c>
      <c r="N205" s="6" t="str">
        <f>IF(M205="","",'Summary'!$B$4+SUM($M$2:M205))</f>
        <v> </v>
      </c>
    </row>
    <row r="206" spans="1:14">
      <c r="A206" s="2"/>
      <c r="B206" s="3"/>
      <c r="C206" s="3"/>
      <c r="D206" s="3"/>
      <c r="E206" s="3"/>
      <c r="F206" s="3"/>
      <c r="G206" s="3"/>
      <c r="H206" s="4"/>
      <c r="I206" s="5"/>
      <c r="J206" s="6"/>
      <c r="K206" s="3"/>
      <c r="L206" s="6"/>
      <c r="M206" s="6" t="str">
        <f>IF(OR(K206="",K206="Pending"),"",L206-J206)</f>
        <v> </v>
      </c>
      <c r="N206" s="6" t="str">
        <f>IF(M206="","",'Summary'!$B$4+SUM($M$2:M206))</f>
        <v> </v>
      </c>
    </row>
    <row r="207" spans="1:14">
      <c r="A207" s="2"/>
      <c r="B207" s="3"/>
      <c r="C207" s="3"/>
      <c r="D207" s="3"/>
      <c r="E207" s="3"/>
      <c r="F207" s="3"/>
      <c r="G207" s="3"/>
      <c r="H207" s="4"/>
      <c r="I207" s="5"/>
      <c r="J207" s="6"/>
      <c r="K207" s="3"/>
      <c r="L207" s="6"/>
      <c r="M207" s="6" t="str">
        <f>IF(OR(K207="",K207="Pending"),"",L207-J207)</f>
        <v> </v>
      </c>
      <c r="N207" s="6" t="str">
        <f>IF(M207="","",'Summary'!$B$4+SUM($M$2:M207))</f>
        <v> </v>
      </c>
    </row>
    <row r="208" spans="1:14">
      <c r="A208" s="2"/>
      <c r="B208" s="3"/>
      <c r="C208" s="3"/>
      <c r="D208" s="3"/>
      <c r="E208" s="3"/>
      <c r="F208" s="3"/>
      <c r="G208" s="3"/>
      <c r="H208" s="4"/>
      <c r="I208" s="5"/>
      <c r="J208" s="6"/>
      <c r="K208" s="3"/>
      <c r="L208" s="6"/>
      <c r="M208" s="6" t="str">
        <f>IF(OR(K208="",K208="Pending"),"",L208-J208)</f>
        <v> </v>
      </c>
      <c r="N208" s="6" t="str">
        <f>IF(M208="","",'Summary'!$B$4+SUM($M$2:M208))</f>
        <v> </v>
      </c>
    </row>
    <row r="209" spans="1:14">
      <c r="A209" s="2"/>
      <c r="B209" s="3"/>
      <c r="C209" s="3"/>
      <c r="D209" s="3"/>
      <c r="E209" s="3"/>
      <c r="F209" s="3"/>
      <c r="G209" s="3"/>
      <c r="H209" s="4"/>
      <c r="I209" s="5"/>
      <c r="J209" s="6"/>
      <c r="K209" s="3"/>
      <c r="L209" s="6"/>
      <c r="M209" s="6" t="str">
        <f>IF(OR(K209="",K209="Pending"),"",L209-J209)</f>
        <v> </v>
      </c>
      <c r="N209" s="6" t="str">
        <f>IF(M209="","",'Summary'!$B$4+SUM($M$2:M209))</f>
        <v> </v>
      </c>
    </row>
    <row r="210" spans="1:14">
      <c r="A210" s="2"/>
      <c r="B210" s="3"/>
      <c r="C210" s="3"/>
      <c r="D210" s="3"/>
      <c r="E210" s="3"/>
      <c r="F210" s="3"/>
      <c r="G210" s="3"/>
      <c r="H210" s="4"/>
      <c r="I210" s="5"/>
      <c r="J210" s="6"/>
      <c r="K210" s="3"/>
      <c r="L210" s="6"/>
      <c r="M210" s="6" t="str">
        <f>IF(OR(K210="",K210="Pending"),"",L210-J210)</f>
        <v> </v>
      </c>
      <c r="N210" s="6" t="str">
        <f>IF(M210="","",'Summary'!$B$4+SUM($M$2:M210))</f>
        <v> </v>
      </c>
    </row>
    <row r="211" spans="1:14">
      <c r="A211" s="2"/>
      <c r="B211" s="3"/>
      <c r="C211" s="3"/>
      <c r="D211" s="3"/>
      <c r="E211" s="3"/>
      <c r="F211" s="3"/>
      <c r="G211" s="3"/>
      <c r="H211" s="4"/>
      <c r="I211" s="5"/>
      <c r="J211" s="6"/>
      <c r="K211" s="3"/>
      <c r="L211" s="6"/>
      <c r="M211" s="6" t="str">
        <f>IF(OR(K211="",K211="Pending"),"",L211-J211)</f>
        <v> </v>
      </c>
      <c r="N211" s="6" t="str">
        <f>IF(M211="","",'Summary'!$B$4+SUM($M$2:M211))</f>
        <v> </v>
      </c>
    </row>
    <row r="212" spans="1:14">
      <c r="A212" s="2"/>
      <c r="B212" s="3"/>
      <c r="C212" s="3"/>
      <c r="D212" s="3"/>
      <c r="E212" s="3"/>
      <c r="F212" s="3"/>
      <c r="G212" s="3"/>
      <c r="H212" s="4"/>
      <c r="I212" s="5"/>
      <c r="J212" s="6"/>
      <c r="K212" s="3"/>
      <c r="L212" s="6"/>
      <c r="M212" s="6" t="str">
        <f>IF(OR(K212="",K212="Pending"),"",L212-J212)</f>
        <v> </v>
      </c>
      <c r="N212" s="6" t="str">
        <f>IF(M212="","",'Summary'!$B$4+SUM($M$2:M212))</f>
        <v> </v>
      </c>
    </row>
    <row r="213" spans="1:14">
      <c r="A213" s="2"/>
      <c r="B213" s="3"/>
      <c r="C213" s="3"/>
      <c r="D213" s="3"/>
      <c r="E213" s="3"/>
      <c r="F213" s="3"/>
      <c r="G213" s="3"/>
      <c r="H213" s="4"/>
      <c r="I213" s="5"/>
      <c r="J213" s="6"/>
      <c r="K213" s="3"/>
      <c r="L213" s="6"/>
      <c r="M213" s="6" t="str">
        <f>IF(OR(K213="",K213="Pending"),"",L213-J213)</f>
        <v> </v>
      </c>
      <c r="N213" s="6" t="str">
        <f>IF(M213="","",'Summary'!$B$4+SUM($M$2:M213))</f>
        <v> </v>
      </c>
    </row>
    <row r="214" spans="1:14">
      <c r="A214" s="2"/>
      <c r="B214" s="3"/>
      <c r="C214" s="3"/>
      <c r="D214" s="3"/>
      <c r="E214" s="3"/>
      <c r="F214" s="3"/>
      <c r="G214" s="3"/>
      <c r="H214" s="4"/>
      <c r="I214" s="5"/>
      <c r="J214" s="6"/>
      <c r="K214" s="3"/>
      <c r="L214" s="6"/>
      <c r="M214" s="6" t="str">
        <f>IF(OR(K214="",K214="Pending"),"",L214-J214)</f>
        <v> </v>
      </c>
      <c r="N214" s="6" t="str">
        <f>IF(M214="","",'Summary'!$B$4+SUM($M$2:M214))</f>
        <v> </v>
      </c>
    </row>
    <row r="215" spans="1:14">
      <c r="A215" s="2"/>
      <c r="B215" s="3"/>
      <c r="C215" s="3"/>
      <c r="D215" s="3"/>
      <c r="E215" s="3"/>
      <c r="F215" s="3"/>
      <c r="G215" s="3"/>
      <c r="H215" s="4"/>
      <c r="I215" s="5"/>
      <c r="J215" s="6"/>
      <c r="K215" s="3"/>
      <c r="L215" s="6"/>
      <c r="M215" s="6" t="str">
        <f>IF(OR(K215="",K215="Pending"),"",L215-J215)</f>
        <v> </v>
      </c>
      <c r="N215" s="6" t="str">
        <f>IF(M215="","",'Summary'!$B$4+SUM($M$2:M215))</f>
        <v> </v>
      </c>
    </row>
    <row r="216" spans="1:14">
      <c r="A216" s="2"/>
      <c r="B216" s="3"/>
      <c r="C216" s="3"/>
      <c r="D216" s="3"/>
      <c r="E216" s="3"/>
      <c r="F216" s="3"/>
      <c r="G216" s="3"/>
      <c r="H216" s="4"/>
      <c r="I216" s="5"/>
      <c r="J216" s="6"/>
      <c r="K216" s="3"/>
      <c r="L216" s="6"/>
      <c r="M216" s="6" t="str">
        <f>IF(OR(K216="",K216="Pending"),"",L216-J216)</f>
        <v> </v>
      </c>
      <c r="N216" s="6" t="str">
        <f>IF(M216="","",'Summary'!$B$4+SUM($M$2:M216))</f>
        <v> </v>
      </c>
    </row>
    <row r="217" spans="1:14">
      <c r="A217" s="2"/>
      <c r="B217" s="3"/>
      <c r="C217" s="3"/>
      <c r="D217" s="3"/>
      <c r="E217" s="3"/>
      <c r="F217" s="3"/>
      <c r="G217" s="3"/>
      <c r="H217" s="4"/>
      <c r="I217" s="5"/>
      <c r="J217" s="6"/>
      <c r="K217" s="3"/>
      <c r="L217" s="6"/>
      <c r="M217" s="6" t="str">
        <f>IF(OR(K217="",K217="Pending"),"",L217-J217)</f>
        <v> </v>
      </c>
      <c r="N217" s="6" t="str">
        <f>IF(M217="","",'Summary'!$B$4+SUM($M$2:M217))</f>
        <v> </v>
      </c>
    </row>
    <row r="218" spans="1:14">
      <c r="A218" s="2"/>
      <c r="B218" s="3"/>
      <c r="C218" s="3"/>
      <c r="D218" s="3"/>
      <c r="E218" s="3"/>
      <c r="F218" s="3"/>
      <c r="G218" s="3"/>
      <c r="H218" s="4"/>
      <c r="I218" s="5"/>
      <c r="J218" s="6"/>
      <c r="K218" s="3"/>
      <c r="L218" s="6"/>
      <c r="M218" s="6" t="str">
        <f>IF(OR(K218="",K218="Pending"),"",L218-J218)</f>
        <v> </v>
      </c>
      <c r="N218" s="6" t="str">
        <f>IF(M218="","",'Summary'!$B$4+SUM($M$2:M218))</f>
        <v> </v>
      </c>
    </row>
    <row r="219" spans="1:14">
      <c r="A219" s="2"/>
      <c r="B219" s="3"/>
      <c r="C219" s="3"/>
      <c r="D219" s="3"/>
      <c r="E219" s="3"/>
      <c r="F219" s="3"/>
      <c r="G219" s="3"/>
      <c r="H219" s="4"/>
      <c r="I219" s="5"/>
      <c r="J219" s="6"/>
      <c r="K219" s="3"/>
      <c r="L219" s="6"/>
      <c r="M219" s="6" t="str">
        <f>IF(OR(K219="",K219="Pending"),"",L219-J219)</f>
        <v> </v>
      </c>
      <c r="N219" s="6" t="str">
        <f>IF(M219="","",'Summary'!$B$4+SUM($M$2:M219))</f>
        <v> </v>
      </c>
    </row>
    <row r="220" spans="1:14">
      <c r="A220" s="2"/>
      <c r="B220" s="3"/>
      <c r="C220" s="3"/>
      <c r="D220" s="3"/>
      <c r="E220" s="3"/>
      <c r="F220" s="3"/>
      <c r="G220" s="3"/>
      <c r="H220" s="4"/>
      <c r="I220" s="5"/>
      <c r="J220" s="6"/>
      <c r="K220" s="3"/>
      <c r="L220" s="6"/>
      <c r="M220" s="6" t="str">
        <f>IF(OR(K220="",K220="Pending"),"",L220-J220)</f>
        <v> </v>
      </c>
      <c r="N220" s="6" t="str">
        <f>IF(M220="","",'Summary'!$B$4+SUM($M$2:M220))</f>
        <v> </v>
      </c>
    </row>
    <row r="221" spans="1:14">
      <c r="A221" s="2"/>
      <c r="B221" s="3"/>
      <c r="C221" s="3"/>
      <c r="D221" s="3"/>
      <c r="E221" s="3"/>
      <c r="F221" s="3"/>
      <c r="G221" s="3"/>
      <c r="H221" s="4"/>
      <c r="I221" s="5"/>
      <c r="J221" s="6"/>
      <c r="K221" s="3"/>
      <c r="L221" s="6"/>
      <c r="M221" s="6" t="str">
        <f>IF(OR(K221="",K221="Pending"),"",L221-J221)</f>
        <v> </v>
      </c>
      <c r="N221" s="6" t="str">
        <f>IF(M221="","",'Summary'!$B$4+SUM($M$2:M221))</f>
        <v> </v>
      </c>
    </row>
    <row r="222" spans="1:14">
      <c r="A222" s="2"/>
      <c r="B222" s="3"/>
      <c r="C222" s="3"/>
      <c r="D222" s="3"/>
      <c r="E222" s="3"/>
      <c r="F222" s="3"/>
      <c r="G222" s="3"/>
      <c r="H222" s="4"/>
      <c r="I222" s="5"/>
      <c r="J222" s="6"/>
      <c r="K222" s="3"/>
      <c r="L222" s="6"/>
      <c r="M222" s="6" t="str">
        <f>IF(OR(K222="",K222="Pending"),"",L222-J222)</f>
        <v> </v>
      </c>
      <c r="N222" s="6" t="str">
        <f>IF(M222="","",'Summary'!$B$4+SUM($M$2:M222))</f>
        <v> </v>
      </c>
    </row>
    <row r="223" spans="1:14">
      <c r="A223" s="2"/>
      <c r="B223" s="3"/>
      <c r="C223" s="3"/>
      <c r="D223" s="3"/>
      <c r="E223" s="3"/>
      <c r="F223" s="3"/>
      <c r="G223" s="3"/>
      <c r="H223" s="4"/>
      <c r="I223" s="5"/>
      <c r="J223" s="6"/>
      <c r="K223" s="3"/>
      <c r="L223" s="6"/>
      <c r="M223" s="6" t="str">
        <f>IF(OR(K223="",K223="Pending"),"",L223-J223)</f>
        <v> </v>
      </c>
      <c r="N223" s="6" t="str">
        <f>IF(M223="","",'Summary'!$B$4+SUM($M$2:M223))</f>
        <v> </v>
      </c>
    </row>
    <row r="224" spans="1:14">
      <c r="A224" s="2"/>
      <c r="B224" s="3"/>
      <c r="C224" s="3"/>
      <c r="D224" s="3"/>
      <c r="E224" s="3"/>
      <c r="F224" s="3"/>
      <c r="G224" s="3"/>
      <c r="H224" s="4"/>
      <c r="I224" s="5"/>
      <c r="J224" s="6"/>
      <c r="K224" s="3"/>
      <c r="L224" s="6"/>
      <c r="M224" s="6" t="str">
        <f>IF(OR(K224="",K224="Pending"),"",L224-J224)</f>
        <v> </v>
      </c>
      <c r="N224" s="6" t="str">
        <f>IF(M224="","",'Summary'!$B$4+SUM($M$2:M224))</f>
        <v> </v>
      </c>
    </row>
    <row r="225" spans="1:14">
      <c r="A225" s="2"/>
      <c r="B225" s="3"/>
      <c r="C225" s="3"/>
      <c r="D225" s="3"/>
      <c r="E225" s="3"/>
      <c r="F225" s="3"/>
      <c r="G225" s="3"/>
      <c r="H225" s="4"/>
      <c r="I225" s="5"/>
      <c r="J225" s="6"/>
      <c r="K225" s="3"/>
      <c r="L225" s="6"/>
      <c r="M225" s="6" t="str">
        <f>IF(OR(K225="",K225="Pending"),"",L225-J225)</f>
        <v> </v>
      </c>
      <c r="N225" s="6" t="str">
        <f>IF(M225="","",'Summary'!$B$4+SUM($M$2:M225))</f>
        <v> </v>
      </c>
    </row>
    <row r="226" spans="1:14">
      <c r="A226" s="2"/>
      <c r="B226" s="3"/>
      <c r="C226" s="3"/>
      <c r="D226" s="3"/>
      <c r="E226" s="3"/>
      <c r="F226" s="3"/>
      <c r="G226" s="3"/>
      <c r="H226" s="4"/>
      <c r="I226" s="5"/>
      <c r="J226" s="6"/>
      <c r="K226" s="3"/>
      <c r="L226" s="6"/>
      <c r="M226" s="6" t="str">
        <f>IF(OR(K226="",K226="Pending"),"",L226-J226)</f>
        <v> </v>
      </c>
      <c r="N226" s="6" t="str">
        <f>IF(M226="","",'Summary'!$B$4+SUM($M$2:M226))</f>
        <v> </v>
      </c>
    </row>
    <row r="227" spans="1:14">
      <c r="A227" s="2"/>
      <c r="B227" s="3"/>
      <c r="C227" s="3"/>
      <c r="D227" s="3"/>
      <c r="E227" s="3"/>
      <c r="F227" s="3"/>
      <c r="G227" s="3"/>
      <c r="H227" s="4"/>
      <c r="I227" s="5"/>
      <c r="J227" s="6"/>
      <c r="K227" s="3"/>
      <c r="L227" s="6"/>
      <c r="M227" s="6" t="str">
        <f>IF(OR(K227="",K227="Pending"),"",L227-J227)</f>
        <v> </v>
      </c>
      <c r="N227" s="6" t="str">
        <f>IF(M227="","",'Summary'!$B$4+SUM($M$2:M227))</f>
        <v> </v>
      </c>
    </row>
    <row r="228" spans="1:14">
      <c r="A228" s="2"/>
      <c r="B228" s="3"/>
      <c r="C228" s="3"/>
      <c r="D228" s="3"/>
      <c r="E228" s="3"/>
      <c r="F228" s="3"/>
      <c r="G228" s="3"/>
      <c r="H228" s="4"/>
      <c r="I228" s="5"/>
      <c r="J228" s="6"/>
      <c r="K228" s="3"/>
      <c r="L228" s="6"/>
      <c r="M228" s="6" t="str">
        <f>IF(OR(K228="",K228="Pending"),"",L228-J228)</f>
        <v> </v>
      </c>
      <c r="N228" s="6" t="str">
        <f>IF(M228="","",'Summary'!$B$4+SUM($M$2:M228))</f>
        <v> </v>
      </c>
    </row>
    <row r="229" spans="1:14">
      <c r="A229" s="2"/>
      <c r="B229" s="3"/>
      <c r="C229" s="3"/>
      <c r="D229" s="3"/>
      <c r="E229" s="3"/>
      <c r="F229" s="3"/>
      <c r="G229" s="3"/>
      <c r="H229" s="4"/>
      <c r="I229" s="5"/>
      <c r="J229" s="6"/>
      <c r="K229" s="3"/>
      <c r="L229" s="6"/>
      <c r="M229" s="6" t="str">
        <f>IF(OR(K229="",K229="Pending"),"",L229-J229)</f>
        <v> </v>
      </c>
      <c r="N229" s="6" t="str">
        <f>IF(M229="","",'Summary'!$B$4+SUM($M$2:M229))</f>
        <v> </v>
      </c>
    </row>
    <row r="230" spans="1:14">
      <c r="A230" s="2"/>
      <c r="B230" s="3"/>
      <c r="C230" s="3"/>
      <c r="D230" s="3"/>
      <c r="E230" s="3"/>
      <c r="F230" s="3"/>
      <c r="G230" s="3"/>
      <c r="H230" s="4"/>
      <c r="I230" s="5"/>
      <c r="J230" s="6"/>
      <c r="K230" s="3"/>
      <c r="L230" s="6"/>
      <c r="M230" s="6" t="str">
        <f>IF(OR(K230="",K230="Pending"),"",L230-J230)</f>
        <v> </v>
      </c>
      <c r="N230" s="6" t="str">
        <f>IF(M230="","",'Summary'!$B$4+SUM($M$2:M230))</f>
        <v> </v>
      </c>
    </row>
    <row r="231" spans="1:14">
      <c r="A231" s="2"/>
      <c r="B231" s="3"/>
      <c r="C231" s="3"/>
      <c r="D231" s="3"/>
      <c r="E231" s="3"/>
      <c r="F231" s="3"/>
      <c r="G231" s="3"/>
      <c r="H231" s="4"/>
      <c r="I231" s="5"/>
      <c r="J231" s="6"/>
      <c r="K231" s="3"/>
      <c r="L231" s="6"/>
      <c r="M231" s="6" t="str">
        <f>IF(OR(K231="",K231="Pending"),"",L231-J231)</f>
        <v> </v>
      </c>
      <c r="N231" s="6" t="str">
        <f>IF(M231="","",'Summary'!$B$4+SUM($M$2:M231))</f>
        <v> </v>
      </c>
    </row>
    <row r="232" spans="1:14">
      <c r="A232" s="2"/>
      <c r="B232" s="3"/>
      <c r="C232" s="3"/>
      <c r="D232" s="3"/>
      <c r="E232" s="3"/>
      <c r="F232" s="3"/>
      <c r="G232" s="3"/>
      <c r="H232" s="4"/>
      <c r="I232" s="5"/>
      <c r="J232" s="6"/>
      <c r="K232" s="3"/>
      <c r="L232" s="6"/>
      <c r="M232" s="6" t="str">
        <f>IF(OR(K232="",K232="Pending"),"",L232-J232)</f>
        <v> </v>
      </c>
      <c r="N232" s="6" t="str">
        <f>IF(M232="","",'Summary'!$B$4+SUM($M$2:M232))</f>
        <v> </v>
      </c>
    </row>
    <row r="233" spans="1:14">
      <c r="A233" s="2"/>
      <c r="B233" s="3"/>
      <c r="C233" s="3"/>
      <c r="D233" s="3"/>
      <c r="E233" s="3"/>
      <c r="F233" s="3"/>
      <c r="G233" s="3"/>
      <c r="H233" s="4"/>
      <c r="I233" s="5"/>
      <c r="J233" s="6"/>
      <c r="K233" s="3"/>
      <c r="L233" s="6"/>
      <c r="M233" s="6" t="str">
        <f>IF(OR(K233="",K233="Pending"),"",L233-J233)</f>
        <v> </v>
      </c>
      <c r="N233" s="6" t="str">
        <f>IF(M233="","",'Summary'!$B$4+SUM($M$2:M233))</f>
        <v> </v>
      </c>
    </row>
    <row r="234" spans="1:14">
      <c r="A234" s="2"/>
      <c r="B234" s="3"/>
      <c r="C234" s="3"/>
      <c r="D234" s="3"/>
      <c r="E234" s="3"/>
      <c r="F234" s="3"/>
      <c r="G234" s="3"/>
      <c r="H234" s="4"/>
      <c r="I234" s="5"/>
      <c r="J234" s="6"/>
      <c r="K234" s="3"/>
      <c r="L234" s="6"/>
      <c r="M234" s="6" t="str">
        <f>IF(OR(K234="",K234="Pending"),"",L234-J234)</f>
        <v> </v>
      </c>
      <c r="N234" s="6" t="str">
        <f>IF(M234="","",'Summary'!$B$4+SUM($M$2:M234))</f>
        <v> </v>
      </c>
    </row>
    <row r="235" spans="1:14">
      <c r="A235" s="2"/>
      <c r="B235" s="3"/>
      <c r="C235" s="3"/>
      <c r="D235" s="3"/>
      <c r="E235" s="3"/>
      <c r="F235" s="3"/>
      <c r="G235" s="3"/>
      <c r="H235" s="4"/>
      <c r="I235" s="5"/>
      <c r="J235" s="6"/>
      <c r="K235" s="3"/>
      <c r="L235" s="6"/>
      <c r="M235" s="6" t="str">
        <f>IF(OR(K235="",K235="Pending"),"",L235-J235)</f>
        <v> </v>
      </c>
      <c r="N235" s="6" t="str">
        <f>IF(M235="","",'Summary'!$B$4+SUM($M$2:M235))</f>
        <v> </v>
      </c>
    </row>
    <row r="236" spans="1:14">
      <c r="A236" s="2"/>
      <c r="B236" s="3"/>
      <c r="C236" s="3"/>
      <c r="D236" s="3"/>
      <c r="E236" s="3"/>
      <c r="F236" s="3"/>
      <c r="G236" s="3"/>
      <c r="H236" s="4"/>
      <c r="I236" s="5"/>
      <c r="J236" s="6"/>
      <c r="K236" s="3"/>
      <c r="L236" s="6"/>
      <c r="M236" s="6" t="str">
        <f>IF(OR(K236="",K236="Pending"),"",L236-J236)</f>
        <v> </v>
      </c>
      <c r="N236" s="6" t="str">
        <f>IF(M236="","",'Summary'!$B$4+SUM($M$2:M236))</f>
        <v> </v>
      </c>
    </row>
    <row r="237" spans="1:14">
      <c r="A237" s="2"/>
      <c r="B237" s="3"/>
      <c r="C237" s="3"/>
      <c r="D237" s="3"/>
      <c r="E237" s="3"/>
      <c r="F237" s="3"/>
      <c r="G237" s="3"/>
      <c r="H237" s="4"/>
      <c r="I237" s="5"/>
      <c r="J237" s="6"/>
      <c r="K237" s="3"/>
      <c r="L237" s="6"/>
      <c r="M237" s="6" t="str">
        <f>IF(OR(K237="",K237="Pending"),"",L237-J237)</f>
        <v> </v>
      </c>
      <c r="N237" s="6" t="str">
        <f>IF(M237="","",'Summary'!$B$4+SUM($M$2:M237))</f>
        <v> </v>
      </c>
    </row>
    <row r="238" spans="1:14">
      <c r="A238" s="2"/>
      <c r="B238" s="3"/>
      <c r="C238" s="3"/>
      <c r="D238" s="3"/>
      <c r="E238" s="3"/>
      <c r="F238" s="3"/>
      <c r="G238" s="3"/>
      <c r="H238" s="4"/>
      <c r="I238" s="5"/>
      <c r="J238" s="6"/>
      <c r="K238" s="3"/>
      <c r="L238" s="6"/>
      <c r="M238" s="6" t="str">
        <f>IF(OR(K238="",K238="Pending"),"",L238-J238)</f>
        <v> </v>
      </c>
      <c r="N238" s="6" t="str">
        <f>IF(M238="","",'Summary'!$B$4+SUM($M$2:M238))</f>
        <v> </v>
      </c>
    </row>
    <row r="239" spans="1:14">
      <c r="A239" s="2"/>
      <c r="B239" s="3"/>
      <c r="C239" s="3"/>
      <c r="D239" s="3"/>
      <c r="E239" s="3"/>
      <c r="F239" s="3"/>
      <c r="G239" s="3"/>
      <c r="H239" s="4"/>
      <c r="I239" s="5"/>
      <c r="J239" s="6"/>
      <c r="K239" s="3"/>
      <c r="L239" s="6"/>
      <c r="M239" s="6" t="str">
        <f>IF(OR(K239="",K239="Pending"),"",L239-J239)</f>
        <v> </v>
      </c>
      <c r="N239" s="6" t="str">
        <f>IF(M239="","",'Summary'!$B$4+SUM($M$2:M239))</f>
        <v> </v>
      </c>
    </row>
    <row r="240" spans="1:14">
      <c r="A240" s="2"/>
      <c r="B240" s="3"/>
      <c r="C240" s="3"/>
      <c r="D240" s="3"/>
      <c r="E240" s="3"/>
      <c r="F240" s="3"/>
      <c r="G240" s="3"/>
      <c r="H240" s="4"/>
      <c r="I240" s="5"/>
      <c r="J240" s="6"/>
      <c r="K240" s="3"/>
      <c r="L240" s="6"/>
      <c r="M240" s="6" t="str">
        <f>IF(OR(K240="",K240="Pending"),"",L240-J240)</f>
        <v> </v>
      </c>
      <c r="N240" s="6" t="str">
        <f>IF(M240="","",'Summary'!$B$4+SUM($M$2:M240))</f>
        <v> </v>
      </c>
    </row>
    <row r="241" spans="1:14">
      <c r="A241" s="2"/>
      <c r="B241" s="3"/>
      <c r="C241" s="3"/>
      <c r="D241" s="3"/>
      <c r="E241" s="3"/>
      <c r="F241" s="3"/>
      <c r="G241" s="3"/>
      <c r="H241" s="4"/>
      <c r="I241" s="5"/>
      <c r="J241" s="6"/>
      <c r="K241" s="3"/>
      <c r="L241" s="6"/>
      <c r="M241" s="6" t="str">
        <f>IF(OR(K241="",K241="Pending"),"",L241-J241)</f>
        <v> </v>
      </c>
      <c r="N241" s="6" t="str">
        <f>IF(M241="","",'Summary'!$B$4+SUM($M$2:M241))</f>
        <v> </v>
      </c>
    </row>
    <row r="242" spans="1:14">
      <c r="A242" s="2"/>
      <c r="B242" s="3"/>
      <c r="C242" s="3"/>
      <c r="D242" s="3"/>
      <c r="E242" s="3"/>
      <c r="F242" s="3"/>
      <c r="G242" s="3"/>
      <c r="H242" s="4"/>
      <c r="I242" s="5"/>
      <c r="J242" s="6"/>
      <c r="K242" s="3"/>
      <c r="L242" s="6"/>
      <c r="M242" s="6" t="str">
        <f>IF(OR(K242="",K242="Pending"),"",L242-J242)</f>
        <v> </v>
      </c>
      <c r="N242" s="6" t="str">
        <f>IF(M242="","",'Summary'!$B$4+SUM($M$2:M242))</f>
        <v> </v>
      </c>
    </row>
    <row r="243" spans="1:14">
      <c r="A243" s="2"/>
      <c r="B243" s="3"/>
      <c r="C243" s="3"/>
      <c r="D243" s="3"/>
      <c r="E243" s="3"/>
      <c r="F243" s="3"/>
      <c r="G243" s="3"/>
      <c r="H243" s="4"/>
      <c r="I243" s="5"/>
      <c r="J243" s="6"/>
      <c r="K243" s="3"/>
      <c r="L243" s="6"/>
      <c r="M243" s="6" t="str">
        <f>IF(OR(K243="",K243="Pending"),"",L243-J243)</f>
        <v> </v>
      </c>
      <c r="N243" s="6" t="str">
        <f>IF(M243="","",'Summary'!$B$4+SUM($M$2:M243))</f>
        <v> </v>
      </c>
    </row>
    <row r="244" spans="1:14">
      <c r="A244" s="2"/>
      <c r="B244" s="3"/>
      <c r="C244" s="3"/>
      <c r="D244" s="3"/>
      <c r="E244" s="3"/>
      <c r="F244" s="3"/>
      <c r="G244" s="3"/>
      <c r="H244" s="4"/>
      <c r="I244" s="5"/>
      <c r="J244" s="6"/>
      <c r="K244" s="3"/>
      <c r="L244" s="6"/>
      <c r="M244" s="6" t="str">
        <f>IF(OR(K244="",K244="Pending"),"",L244-J244)</f>
        <v> </v>
      </c>
      <c r="N244" s="6" t="str">
        <f>IF(M244="","",'Summary'!$B$4+SUM($M$2:M244))</f>
        <v> </v>
      </c>
    </row>
    <row r="245" spans="1:14">
      <c r="A245" s="2"/>
      <c r="B245" s="3"/>
      <c r="C245" s="3"/>
      <c r="D245" s="3"/>
      <c r="E245" s="3"/>
      <c r="F245" s="3"/>
      <c r="G245" s="3"/>
      <c r="H245" s="4"/>
      <c r="I245" s="5"/>
      <c r="J245" s="6"/>
      <c r="K245" s="3"/>
      <c r="L245" s="6"/>
      <c r="M245" s="6" t="str">
        <f>IF(OR(K245="",K245="Pending"),"",L245-J245)</f>
        <v> </v>
      </c>
      <c r="N245" s="6" t="str">
        <f>IF(M245="","",'Summary'!$B$4+SUM($M$2:M245))</f>
        <v> </v>
      </c>
    </row>
    <row r="246" spans="1:14">
      <c r="A246" s="2"/>
      <c r="B246" s="3"/>
      <c r="C246" s="3"/>
      <c r="D246" s="3"/>
      <c r="E246" s="3"/>
      <c r="F246" s="3"/>
      <c r="G246" s="3"/>
      <c r="H246" s="4"/>
      <c r="I246" s="5"/>
      <c r="J246" s="6"/>
      <c r="K246" s="3"/>
      <c r="L246" s="6"/>
      <c r="M246" s="6" t="str">
        <f>IF(OR(K246="",K246="Pending"),"",L246-J246)</f>
        <v> </v>
      </c>
      <c r="N246" s="6" t="str">
        <f>IF(M246="","",'Summary'!$B$4+SUM($M$2:M246))</f>
        <v> </v>
      </c>
    </row>
    <row r="247" spans="1:14">
      <c r="A247" s="2"/>
      <c r="B247" s="3"/>
      <c r="C247" s="3"/>
      <c r="D247" s="3"/>
      <c r="E247" s="3"/>
      <c r="F247" s="3"/>
      <c r="G247" s="3"/>
      <c r="H247" s="4"/>
      <c r="I247" s="5"/>
      <c r="J247" s="6"/>
      <c r="K247" s="3"/>
      <c r="L247" s="6"/>
      <c r="M247" s="6" t="str">
        <f>IF(OR(K247="",K247="Pending"),"",L247-J247)</f>
        <v> </v>
      </c>
      <c r="N247" s="6" t="str">
        <f>IF(M247="","",'Summary'!$B$4+SUM($M$2:M247))</f>
        <v> </v>
      </c>
    </row>
    <row r="248" spans="1:14">
      <c r="A248" s="2"/>
      <c r="B248" s="3"/>
      <c r="C248" s="3"/>
      <c r="D248" s="3"/>
      <c r="E248" s="3"/>
      <c r="F248" s="3"/>
      <c r="G248" s="3"/>
      <c r="H248" s="4"/>
      <c r="I248" s="5"/>
      <c r="J248" s="6"/>
      <c r="K248" s="3"/>
      <c r="L248" s="6"/>
      <c r="M248" s="6" t="str">
        <f>IF(OR(K248="",K248="Pending"),"",L248-J248)</f>
        <v> </v>
      </c>
      <c r="N248" s="6" t="str">
        <f>IF(M248="","",'Summary'!$B$4+SUM($M$2:M248))</f>
        <v> </v>
      </c>
    </row>
    <row r="249" spans="1:14">
      <c r="A249" s="2"/>
      <c r="B249" s="3"/>
      <c r="C249" s="3"/>
      <c r="D249" s="3"/>
      <c r="E249" s="3"/>
      <c r="F249" s="3"/>
      <c r="G249" s="3"/>
      <c r="H249" s="4"/>
      <c r="I249" s="5"/>
      <c r="J249" s="6"/>
      <c r="K249" s="3"/>
      <c r="L249" s="6"/>
      <c r="M249" s="6" t="str">
        <f>IF(OR(K249="",K249="Pending"),"",L249-J249)</f>
        <v> </v>
      </c>
      <c r="N249" s="6" t="str">
        <f>IF(M249="","",'Summary'!$B$4+SUM($M$2:M249))</f>
        <v> </v>
      </c>
    </row>
    <row r="250" spans="1:14">
      <c r="A250" s="2"/>
      <c r="B250" s="3"/>
      <c r="C250" s="3"/>
      <c r="D250" s="3"/>
      <c r="E250" s="3"/>
      <c r="F250" s="3"/>
      <c r="G250" s="3"/>
      <c r="H250" s="4"/>
      <c r="I250" s="5"/>
      <c r="J250" s="6"/>
      <c r="K250" s="3"/>
      <c r="L250" s="6"/>
      <c r="M250" s="6" t="str">
        <f>IF(OR(K250="",K250="Pending"),"",L250-J250)</f>
        <v> </v>
      </c>
      <c r="N250" s="6" t="str">
        <f>IF(M250="","",'Summary'!$B$4+SUM($M$2:M250))</f>
        <v> </v>
      </c>
    </row>
    <row r="251" spans="1:14">
      <c r="A251" s="2"/>
      <c r="B251" s="3"/>
      <c r="C251" s="3"/>
      <c r="D251" s="3"/>
      <c r="E251" s="3"/>
      <c r="F251" s="3"/>
      <c r="G251" s="3"/>
      <c r="H251" s="4"/>
      <c r="I251" s="5"/>
      <c r="J251" s="6"/>
      <c r="K251" s="3"/>
      <c r="L251" s="6"/>
      <c r="M251" s="6" t="str">
        <f>IF(OR(K251="",K251="Pending"),"",L251-J251)</f>
        <v> </v>
      </c>
      <c r="N251" s="6" t="str">
        <f>IF(M251="","",'Summary'!$B$4+SUM($M$2:M251))</f>
        <v> </v>
      </c>
    </row>
    <row r="252" spans="1:14">
      <c r="A252" s="2"/>
      <c r="B252" s="3"/>
      <c r="C252" s="3"/>
      <c r="D252" s="3"/>
      <c r="E252" s="3"/>
      <c r="F252" s="3"/>
      <c r="G252" s="3"/>
      <c r="H252" s="4"/>
      <c r="I252" s="5"/>
      <c r="J252" s="6"/>
      <c r="K252" s="3"/>
      <c r="L252" s="6"/>
      <c r="M252" s="6" t="str">
        <f>IF(OR(K252="",K252="Pending"),"",L252-J252)</f>
        <v> </v>
      </c>
      <c r="N252" s="6" t="str">
        <f>IF(M252="","",'Summary'!$B$4+SUM($M$2:M252))</f>
        <v> </v>
      </c>
    </row>
    <row r="253" spans="1:14">
      <c r="A253" s="2"/>
      <c r="B253" s="3"/>
      <c r="C253" s="3"/>
      <c r="D253" s="3"/>
      <c r="E253" s="3"/>
      <c r="F253" s="3"/>
      <c r="G253" s="3"/>
      <c r="H253" s="4"/>
      <c r="I253" s="5"/>
      <c r="J253" s="6"/>
      <c r="K253" s="3"/>
      <c r="L253" s="6"/>
      <c r="M253" s="6" t="str">
        <f>IF(OR(K253="",K253="Pending"),"",L253-J253)</f>
        <v> </v>
      </c>
      <c r="N253" s="6" t="str">
        <f>IF(M253="","",'Summary'!$B$4+SUM($M$2:M253))</f>
        <v> </v>
      </c>
    </row>
    <row r="254" spans="1:14">
      <c r="A254" s="2"/>
      <c r="B254" s="3"/>
      <c r="C254" s="3"/>
      <c r="D254" s="3"/>
      <c r="E254" s="3"/>
      <c r="F254" s="3"/>
      <c r="G254" s="3"/>
      <c r="H254" s="4"/>
      <c r="I254" s="5"/>
      <c r="J254" s="6"/>
      <c r="K254" s="3"/>
      <c r="L254" s="6"/>
      <c r="M254" s="6" t="str">
        <f>IF(OR(K254="",K254="Pending"),"",L254-J254)</f>
        <v> </v>
      </c>
      <c r="N254" s="6" t="str">
        <f>IF(M254="","",'Summary'!$B$4+SUM($M$2:M254))</f>
        <v> </v>
      </c>
    </row>
    <row r="255" spans="1:14">
      <c r="A255" s="2"/>
      <c r="B255" s="3"/>
      <c r="C255" s="3"/>
      <c r="D255" s="3"/>
      <c r="E255" s="3"/>
      <c r="F255" s="3"/>
      <c r="G255" s="3"/>
      <c r="H255" s="4"/>
      <c r="I255" s="5"/>
      <c r="J255" s="6"/>
      <c r="K255" s="3"/>
      <c r="L255" s="6"/>
      <c r="M255" s="6" t="str">
        <f>IF(OR(K255="",K255="Pending"),"",L255-J255)</f>
        <v> </v>
      </c>
      <c r="N255" s="6" t="str">
        <f>IF(M255="","",'Summary'!$B$4+SUM($M$2:M255))</f>
        <v> </v>
      </c>
    </row>
    <row r="256" spans="1:14">
      <c r="A256" s="2"/>
      <c r="B256" s="3"/>
      <c r="C256" s="3"/>
      <c r="D256" s="3"/>
      <c r="E256" s="3"/>
      <c r="F256" s="3"/>
      <c r="G256" s="3"/>
      <c r="H256" s="4"/>
      <c r="I256" s="5"/>
      <c r="J256" s="6"/>
      <c r="K256" s="3"/>
      <c r="L256" s="6"/>
      <c r="M256" s="6" t="str">
        <f>IF(OR(K256="",K256="Pending"),"",L256-J256)</f>
        <v> </v>
      </c>
      <c r="N256" s="6" t="str">
        <f>IF(M256="","",'Summary'!$B$4+SUM($M$2:M256))</f>
        <v> </v>
      </c>
    </row>
    <row r="257" spans="1:14">
      <c r="A257" s="2"/>
      <c r="B257" s="3"/>
      <c r="C257" s="3"/>
      <c r="D257" s="3"/>
      <c r="E257" s="3"/>
      <c r="F257" s="3"/>
      <c r="G257" s="3"/>
      <c r="H257" s="4"/>
      <c r="I257" s="5"/>
      <c r="J257" s="6"/>
      <c r="K257" s="3"/>
      <c r="L257" s="6"/>
      <c r="M257" s="6" t="str">
        <f>IF(OR(K257="",K257="Pending"),"",L257-J257)</f>
        <v> </v>
      </c>
      <c r="N257" s="6" t="str">
        <f>IF(M257="","",'Summary'!$B$4+SUM($M$2:M257))</f>
        <v> </v>
      </c>
    </row>
    <row r="258" spans="1:14">
      <c r="A258" s="2"/>
      <c r="B258" s="3"/>
      <c r="C258" s="3"/>
      <c r="D258" s="3"/>
      <c r="E258" s="3"/>
      <c r="F258" s="3"/>
      <c r="G258" s="3"/>
      <c r="H258" s="4"/>
      <c r="I258" s="5"/>
      <c r="J258" s="6"/>
      <c r="K258" s="3"/>
      <c r="L258" s="6"/>
      <c r="M258" s="6" t="str">
        <f>IF(OR(K258="",K258="Pending"),"",L258-J258)</f>
        <v> </v>
      </c>
      <c r="N258" s="6" t="str">
        <f>IF(M258="","",'Summary'!$B$4+SUM($M$2:M258))</f>
        <v> </v>
      </c>
    </row>
    <row r="259" spans="1:14">
      <c r="A259" s="2"/>
      <c r="B259" s="3"/>
      <c r="C259" s="3"/>
      <c r="D259" s="3"/>
      <c r="E259" s="3"/>
      <c r="F259" s="3"/>
      <c r="G259" s="3"/>
      <c r="H259" s="4"/>
      <c r="I259" s="5"/>
      <c r="J259" s="6"/>
      <c r="K259" s="3"/>
      <c r="L259" s="6"/>
      <c r="M259" s="6" t="str">
        <f>IF(OR(K259="",K259="Pending"),"",L259-J259)</f>
        <v> </v>
      </c>
      <c r="N259" s="6" t="str">
        <f>IF(M259="","",'Summary'!$B$4+SUM($M$2:M259))</f>
        <v> </v>
      </c>
    </row>
    <row r="260" spans="1:14">
      <c r="A260" s="2"/>
      <c r="B260" s="3"/>
      <c r="C260" s="3"/>
      <c r="D260" s="3"/>
      <c r="E260" s="3"/>
      <c r="F260" s="3"/>
      <c r="G260" s="3"/>
      <c r="H260" s="4"/>
      <c r="I260" s="5"/>
      <c r="J260" s="6"/>
      <c r="K260" s="3"/>
      <c r="L260" s="6"/>
      <c r="M260" s="6" t="str">
        <f>IF(OR(K260="",K260="Pending"),"",L260-J260)</f>
        <v> </v>
      </c>
      <c r="N260" s="6" t="str">
        <f>IF(M260="","",'Summary'!$B$4+SUM($M$2:M260))</f>
        <v> </v>
      </c>
    </row>
    <row r="261" spans="1:14">
      <c r="A261" s="2"/>
      <c r="B261" s="3"/>
      <c r="C261" s="3"/>
      <c r="D261" s="3"/>
      <c r="E261" s="3"/>
      <c r="F261" s="3"/>
      <c r="G261" s="3"/>
      <c r="H261" s="4"/>
      <c r="I261" s="5"/>
      <c r="J261" s="6"/>
      <c r="K261" s="3"/>
      <c r="L261" s="6"/>
      <c r="M261" s="6" t="str">
        <f>IF(OR(K261="",K261="Pending"),"",L261-J261)</f>
        <v> </v>
      </c>
      <c r="N261" s="6" t="str">
        <f>IF(M261="","",'Summary'!$B$4+SUM($M$2:M261))</f>
        <v> </v>
      </c>
    </row>
    <row r="262" spans="1:14">
      <c r="A262" s="2"/>
      <c r="B262" s="3"/>
      <c r="C262" s="3"/>
      <c r="D262" s="3"/>
      <c r="E262" s="3"/>
      <c r="F262" s="3"/>
      <c r="G262" s="3"/>
      <c r="H262" s="4"/>
      <c r="I262" s="5"/>
      <c r="J262" s="6"/>
      <c r="K262" s="3"/>
      <c r="L262" s="6"/>
      <c r="M262" s="6" t="str">
        <f>IF(OR(K262="",K262="Pending"),"",L262-J262)</f>
        <v> </v>
      </c>
      <c r="N262" s="6" t="str">
        <f>IF(M262="","",'Summary'!$B$4+SUM($M$2:M262))</f>
        <v> </v>
      </c>
    </row>
    <row r="263" spans="1:14">
      <c r="A263" s="2"/>
      <c r="B263" s="3"/>
      <c r="C263" s="3"/>
      <c r="D263" s="3"/>
      <c r="E263" s="3"/>
      <c r="F263" s="3"/>
      <c r="G263" s="3"/>
      <c r="H263" s="4"/>
      <c r="I263" s="5"/>
      <c r="J263" s="6"/>
      <c r="K263" s="3"/>
      <c r="L263" s="6"/>
      <c r="M263" s="6" t="str">
        <f>IF(OR(K263="",K263="Pending"),"",L263-J263)</f>
        <v> </v>
      </c>
      <c r="N263" s="6" t="str">
        <f>IF(M263="","",'Summary'!$B$4+SUM($M$2:M263))</f>
        <v> </v>
      </c>
    </row>
    <row r="264" spans="1:14">
      <c r="A264" s="2"/>
      <c r="B264" s="3"/>
      <c r="C264" s="3"/>
      <c r="D264" s="3"/>
      <c r="E264" s="3"/>
      <c r="F264" s="3"/>
      <c r="G264" s="3"/>
      <c r="H264" s="4"/>
      <c r="I264" s="5"/>
      <c r="J264" s="6"/>
      <c r="K264" s="3"/>
      <c r="L264" s="6"/>
      <c r="M264" s="6" t="str">
        <f>IF(OR(K264="",K264="Pending"),"",L264-J264)</f>
        <v> </v>
      </c>
      <c r="N264" s="6" t="str">
        <f>IF(M264="","",'Summary'!$B$4+SUM($M$2:M264))</f>
        <v> </v>
      </c>
    </row>
    <row r="265" spans="1:14">
      <c r="A265" s="2"/>
      <c r="B265" s="3"/>
      <c r="C265" s="3"/>
      <c r="D265" s="3"/>
      <c r="E265" s="3"/>
      <c r="F265" s="3"/>
      <c r="G265" s="3"/>
      <c r="H265" s="4"/>
      <c r="I265" s="5"/>
      <c r="J265" s="6"/>
      <c r="K265" s="3"/>
      <c r="L265" s="6"/>
      <c r="M265" s="6" t="str">
        <f>IF(OR(K265="",K265="Pending"),"",L265-J265)</f>
        <v> </v>
      </c>
      <c r="N265" s="6" t="str">
        <f>IF(M265="","",'Summary'!$B$4+SUM($M$2:M265))</f>
        <v> </v>
      </c>
    </row>
    <row r="266" spans="1:14">
      <c r="A266" s="2"/>
      <c r="B266" s="3"/>
      <c r="C266" s="3"/>
      <c r="D266" s="3"/>
      <c r="E266" s="3"/>
      <c r="F266" s="3"/>
      <c r="G266" s="3"/>
      <c r="H266" s="4"/>
      <c r="I266" s="5"/>
      <c r="J266" s="6"/>
      <c r="K266" s="3"/>
      <c r="L266" s="6"/>
      <c r="M266" s="6" t="str">
        <f>IF(OR(K266="",K266="Pending"),"",L266-J266)</f>
        <v> </v>
      </c>
      <c r="N266" s="6" t="str">
        <f>IF(M266="","",'Summary'!$B$4+SUM($M$2:M266))</f>
        <v> </v>
      </c>
    </row>
    <row r="267" spans="1:14">
      <c r="A267" s="2"/>
      <c r="B267" s="3"/>
      <c r="C267" s="3"/>
      <c r="D267" s="3"/>
      <c r="E267" s="3"/>
      <c r="F267" s="3"/>
      <c r="G267" s="3"/>
      <c r="H267" s="4"/>
      <c r="I267" s="5"/>
      <c r="J267" s="6"/>
      <c r="K267" s="3"/>
      <c r="L267" s="6"/>
      <c r="M267" s="6" t="str">
        <f>IF(OR(K267="",K267="Pending"),"",L267-J267)</f>
        <v> </v>
      </c>
      <c r="N267" s="6" t="str">
        <f>IF(M267="","",'Summary'!$B$4+SUM($M$2:M267))</f>
        <v> </v>
      </c>
    </row>
    <row r="268" spans="1:14">
      <c r="A268" s="2"/>
      <c r="B268" s="3"/>
      <c r="C268" s="3"/>
      <c r="D268" s="3"/>
      <c r="E268" s="3"/>
      <c r="F268" s="3"/>
      <c r="G268" s="3"/>
      <c r="H268" s="4"/>
      <c r="I268" s="5"/>
      <c r="J268" s="6"/>
      <c r="K268" s="3"/>
      <c r="L268" s="6"/>
      <c r="M268" s="6" t="str">
        <f>IF(OR(K268="",K268="Pending"),"",L268-J268)</f>
        <v> </v>
      </c>
      <c r="N268" s="6" t="str">
        <f>IF(M268="","",'Summary'!$B$4+SUM($M$2:M268))</f>
        <v> </v>
      </c>
    </row>
    <row r="269" spans="1:14">
      <c r="A269" s="2"/>
      <c r="B269" s="3"/>
      <c r="C269" s="3"/>
      <c r="D269" s="3"/>
      <c r="E269" s="3"/>
      <c r="F269" s="3"/>
      <c r="G269" s="3"/>
      <c r="H269" s="4"/>
      <c r="I269" s="5"/>
      <c r="J269" s="6"/>
      <c r="K269" s="3"/>
      <c r="L269" s="6"/>
      <c r="M269" s="6" t="str">
        <f>IF(OR(K269="",K269="Pending"),"",L269-J269)</f>
        <v> </v>
      </c>
      <c r="N269" s="6" t="str">
        <f>IF(M269="","",'Summary'!$B$4+SUM($M$2:M269))</f>
        <v> </v>
      </c>
    </row>
    <row r="270" spans="1:14">
      <c r="A270" s="2"/>
      <c r="B270" s="3"/>
      <c r="C270" s="3"/>
      <c r="D270" s="3"/>
      <c r="E270" s="3"/>
      <c r="F270" s="3"/>
      <c r="G270" s="3"/>
      <c r="H270" s="4"/>
      <c r="I270" s="5"/>
      <c r="J270" s="6"/>
      <c r="K270" s="3"/>
      <c r="L270" s="6"/>
      <c r="M270" s="6" t="str">
        <f>IF(OR(K270="",K270="Pending"),"",L270-J270)</f>
        <v> </v>
      </c>
      <c r="N270" s="6" t="str">
        <f>IF(M270="","",'Summary'!$B$4+SUM($M$2:M270))</f>
        <v> </v>
      </c>
    </row>
    <row r="271" spans="1:14">
      <c r="A271" s="2"/>
      <c r="B271" s="3"/>
      <c r="C271" s="3"/>
      <c r="D271" s="3"/>
      <c r="E271" s="3"/>
      <c r="F271" s="3"/>
      <c r="G271" s="3"/>
      <c r="H271" s="4"/>
      <c r="I271" s="5"/>
      <c r="J271" s="6"/>
      <c r="K271" s="3"/>
      <c r="L271" s="6"/>
      <c r="M271" s="6" t="str">
        <f>IF(OR(K271="",K271="Pending"),"",L271-J271)</f>
        <v> </v>
      </c>
      <c r="N271" s="6" t="str">
        <f>IF(M271="","",'Summary'!$B$4+SUM($M$2:M271))</f>
        <v> </v>
      </c>
    </row>
    <row r="272" spans="1:14">
      <c r="A272" s="2"/>
      <c r="B272" s="3"/>
      <c r="C272" s="3"/>
      <c r="D272" s="3"/>
      <c r="E272" s="3"/>
      <c r="F272" s="3"/>
      <c r="G272" s="3"/>
      <c r="H272" s="4"/>
      <c r="I272" s="5"/>
      <c r="J272" s="6"/>
      <c r="K272" s="3"/>
      <c r="L272" s="6"/>
      <c r="M272" s="6" t="str">
        <f>IF(OR(K272="",K272="Pending"),"",L272-J272)</f>
        <v> </v>
      </c>
      <c r="N272" s="6" t="str">
        <f>IF(M272="","",'Summary'!$B$4+SUM($M$2:M272))</f>
        <v> </v>
      </c>
    </row>
    <row r="273" spans="1:14">
      <c r="A273" s="2"/>
      <c r="B273" s="3"/>
      <c r="C273" s="3"/>
      <c r="D273" s="3"/>
      <c r="E273" s="3"/>
      <c r="F273" s="3"/>
      <c r="G273" s="3"/>
      <c r="H273" s="4"/>
      <c r="I273" s="5"/>
      <c r="J273" s="6"/>
      <c r="K273" s="3"/>
      <c r="L273" s="6"/>
      <c r="M273" s="6" t="str">
        <f>IF(OR(K273="",K273="Pending"),"",L273-J273)</f>
        <v> </v>
      </c>
      <c r="N273" s="6" t="str">
        <f>IF(M273="","",'Summary'!$B$4+SUM($M$2:M273))</f>
        <v> </v>
      </c>
    </row>
    <row r="274" spans="1:14">
      <c r="A274" s="2"/>
      <c r="B274" s="3"/>
      <c r="C274" s="3"/>
      <c r="D274" s="3"/>
      <c r="E274" s="3"/>
      <c r="F274" s="3"/>
      <c r="G274" s="3"/>
      <c r="H274" s="4"/>
      <c r="I274" s="5"/>
      <c r="J274" s="6"/>
      <c r="K274" s="3"/>
      <c r="L274" s="6"/>
      <c r="M274" s="6" t="str">
        <f>IF(OR(K274="",K274="Pending"),"",L274-J274)</f>
        <v> </v>
      </c>
      <c r="N274" s="6" t="str">
        <f>IF(M274="","",'Summary'!$B$4+SUM($M$2:M274))</f>
        <v> </v>
      </c>
    </row>
    <row r="275" spans="1:14">
      <c r="A275" s="2"/>
      <c r="B275" s="3"/>
      <c r="C275" s="3"/>
      <c r="D275" s="3"/>
      <c r="E275" s="3"/>
      <c r="F275" s="3"/>
      <c r="G275" s="3"/>
      <c r="H275" s="4"/>
      <c r="I275" s="5"/>
      <c r="J275" s="6"/>
      <c r="K275" s="3"/>
      <c r="L275" s="6"/>
      <c r="M275" s="6" t="str">
        <f>IF(OR(K275="",K275="Pending"),"",L275-J275)</f>
        <v> </v>
      </c>
      <c r="N275" s="6" t="str">
        <f>IF(M275="","",'Summary'!$B$4+SUM($M$2:M275))</f>
        <v> </v>
      </c>
    </row>
    <row r="276" spans="1:14">
      <c r="A276" s="2"/>
      <c r="B276" s="3"/>
      <c r="C276" s="3"/>
      <c r="D276" s="3"/>
      <c r="E276" s="3"/>
      <c r="F276" s="3"/>
      <c r="G276" s="3"/>
      <c r="H276" s="4"/>
      <c r="I276" s="5"/>
      <c r="J276" s="6"/>
      <c r="K276" s="3"/>
      <c r="L276" s="6"/>
      <c r="M276" s="6" t="str">
        <f>IF(OR(K276="",K276="Pending"),"",L276-J276)</f>
        <v> </v>
      </c>
      <c r="N276" s="6" t="str">
        <f>IF(M276="","",'Summary'!$B$4+SUM($M$2:M276))</f>
        <v> </v>
      </c>
    </row>
    <row r="277" spans="1:14">
      <c r="A277" s="2"/>
      <c r="B277" s="3"/>
      <c r="C277" s="3"/>
      <c r="D277" s="3"/>
      <c r="E277" s="3"/>
      <c r="F277" s="3"/>
      <c r="G277" s="3"/>
      <c r="H277" s="4"/>
      <c r="I277" s="5"/>
      <c r="J277" s="6"/>
      <c r="K277" s="3"/>
      <c r="L277" s="6"/>
      <c r="M277" s="6" t="str">
        <f>IF(OR(K277="",K277="Pending"),"",L277-J277)</f>
        <v> </v>
      </c>
      <c r="N277" s="6" t="str">
        <f>IF(M277="","",'Summary'!$B$4+SUM($M$2:M277))</f>
        <v> </v>
      </c>
    </row>
    <row r="278" spans="1:14">
      <c r="A278" s="2"/>
      <c r="B278" s="3"/>
      <c r="C278" s="3"/>
      <c r="D278" s="3"/>
      <c r="E278" s="3"/>
      <c r="F278" s="3"/>
      <c r="G278" s="3"/>
      <c r="H278" s="4"/>
      <c r="I278" s="5"/>
      <c r="J278" s="6"/>
      <c r="K278" s="3"/>
      <c r="L278" s="6"/>
      <c r="M278" s="6" t="str">
        <f>IF(OR(K278="",K278="Pending"),"",L278-J278)</f>
        <v> </v>
      </c>
      <c r="N278" s="6" t="str">
        <f>IF(M278="","",'Summary'!$B$4+SUM($M$2:M278))</f>
        <v> </v>
      </c>
    </row>
    <row r="279" spans="1:14">
      <c r="A279" s="2"/>
      <c r="B279" s="3"/>
      <c r="C279" s="3"/>
      <c r="D279" s="3"/>
      <c r="E279" s="3"/>
      <c r="F279" s="3"/>
      <c r="G279" s="3"/>
      <c r="H279" s="4"/>
      <c r="I279" s="5"/>
      <c r="J279" s="6"/>
      <c r="K279" s="3"/>
      <c r="L279" s="6"/>
      <c r="M279" s="6" t="str">
        <f>IF(OR(K279="",K279="Pending"),"",L279-J279)</f>
        <v> </v>
      </c>
      <c r="N279" s="6" t="str">
        <f>IF(M279="","",'Summary'!$B$4+SUM($M$2:M279))</f>
        <v> </v>
      </c>
    </row>
    <row r="280" spans="1:14">
      <c r="A280" s="2"/>
      <c r="B280" s="3"/>
      <c r="C280" s="3"/>
      <c r="D280" s="3"/>
      <c r="E280" s="3"/>
      <c r="F280" s="3"/>
      <c r="G280" s="3"/>
      <c r="H280" s="4"/>
      <c r="I280" s="5"/>
      <c r="J280" s="6"/>
      <c r="K280" s="3"/>
      <c r="L280" s="6"/>
      <c r="M280" s="6" t="str">
        <f>IF(OR(K280="",K280="Pending"),"",L280-J280)</f>
        <v> </v>
      </c>
      <c r="N280" s="6" t="str">
        <f>IF(M280="","",'Summary'!$B$4+SUM($M$2:M280))</f>
        <v> </v>
      </c>
    </row>
    <row r="281" spans="1:14">
      <c r="A281" s="2"/>
      <c r="B281" s="3"/>
      <c r="C281" s="3"/>
      <c r="D281" s="3"/>
      <c r="E281" s="3"/>
      <c r="F281" s="3"/>
      <c r="G281" s="3"/>
      <c r="H281" s="4"/>
      <c r="I281" s="5"/>
      <c r="J281" s="6"/>
      <c r="K281" s="3"/>
      <c r="L281" s="6"/>
      <c r="M281" s="6" t="str">
        <f>IF(OR(K281="",K281="Pending"),"",L281-J281)</f>
        <v> </v>
      </c>
      <c r="N281" s="6" t="str">
        <f>IF(M281="","",'Summary'!$B$4+SUM($M$2:M281))</f>
        <v> </v>
      </c>
    </row>
    <row r="282" spans="1:14">
      <c r="A282" s="2"/>
      <c r="B282" s="3"/>
      <c r="C282" s="3"/>
      <c r="D282" s="3"/>
      <c r="E282" s="3"/>
      <c r="F282" s="3"/>
      <c r="G282" s="3"/>
      <c r="H282" s="4"/>
      <c r="I282" s="5"/>
      <c r="J282" s="6"/>
      <c r="K282" s="3"/>
      <c r="L282" s="6"/>
      <c r="M282" s="6" t="str">
        <f>IF(OR(K282="",K282="Pending"),"",L282-J282)</f>
        <v> </v>
      </c>
      <c r="N282" s="6" t="str">
        <f>IF(M282="","",'Summary'!$B$4+SUM($M$2:M282))</f>
        <v> </v>
      </c>
    </row>
    <row r="283" spans="1:14">
      <c r="A283" s="2"/>
      <c r="B283" s="3"/>
      <c r="C283" s="3"/>
      <c r="D283" s="3"/>
      <c r="E283" s="3"/>
      <c r="F283" s="3"/>
      <c r="G283" s="3"/>
      <c r="H283" s="4"/>
      <c r="I283" s="5"/>
      <c r="J283" s="6"/>
      <c r="K283" s="3"/>
      <c r="L283" s="6"/>
      <c r="M283" s="6" t="str">
        <f>IF(OR(K283="",K283="Pending"),"",L283-J283)</f>
        <v> </v>
      </c>
      <c r="N283" s="6" t="str">
        <f>IF(M283="","",'Summary'!$B$4+SUM($M$2:M283))</f>
        <v> </v>
      </c>
    </row>
    <row r="284" spans="1:14">
      <c r="A284" s="2"/>
      <c r="B284" s="3"/>
      <c r="C284" s="3"/>
      <c r="D284" s="3"/>
      <c r="E284" s="3"/>
      <c r="F284" s="3"/>
      <c r="G284" s="3"/>
      <c r="H284" s="4"/>
      <c r="I284" s="5"/>
      <c r="J284" s="6"/>
      <c r="K284" s="3"/>
      <c r="L284" s="6"/>
      <c r="M284" s="6" t="str">
        <f>IF(OR(K284="",K284="Pending"),"",L284-J284)</f>
        <v> </v>
      </c>
      <c r="N284" s="6" t="str">
        <f>IF(M284="","",'Summary'!$B$4+SUM($M$2:M284))</f>
        <v> </v>
      </c>
    </row>
    <row r="285" spans="1:14">
      <c r="A285" s="2"/>
      <c r="B285" s="3"/>
      <c r="C285" s="3"/>
      <c r="D285" s="3"/>
      <c r="E285" s="3"/>
      <c r="F285" s="3"/>
      <c r="G285" s="3"/>
      <c r="H285" s="4"/>
      <c r="I285" s="5"/>
      <c r="J285" s="6"/>
      <c r="K285" s="3"/>
      <c r="L285" s="6"/>
      <c r="M285" s="6" t="str">
        <f>IF(OR(K285="",K285="Pending"),"",L285-J285)</f>
        <v> </v>
      </c>
      <c r="N285" s="6" t="str">
        <f>IF(M285="","",'Summary'!$B$4+SUM($M$2:M285))</f>
        <v> </v>
      </c>
    </row>
    <row r="286" spans="1:14">
      <c r="A286" s="2"/>
      <c r="B286" s="3"/>
      <c r="C286" s="3"/>
      <c r="D286" s="3"/>
      <c r="E286" s="3"/>
      <c r="F286" s="3"/>
      <c r="G286" s="3"/>
      <c r="H286" s="4"/>
      <c r="I286" s="5"/>
      <c r="J286" s="6"/>
      <c r="K286" s="3"/>
      <c r="L286" s="6"/>
      <c r="M286" s="6" t="str">
        <f>IF(OR(K286="",K286="Pending"),"",L286-J286)</f>
        <v> </v>
      </c>
      <c r="N286" s="6" t="str">
        <f>IF(M286="","",'Summary'!$B$4+SUM($M$2:M286))</f>
        <v> </v>
      </c>
    </row>
    <row r="287" spans="1:14">
      <c r="A287" s="2"/>
      <c r="B287" s="3"/>
      <c r="C287" s="3"/>
      <c r="D287" s="3"/>
      <c r="E287" s="3"/>
      <c r="F287" s="3"/>
      <c r="G287" s="3"/>
      <c r="H287" s="4"/>
      <c r="I287" s="5"/>
      <c r="J287" s="6"/>
      <c r="K287" s="3"/>
      <c r="L287" s="6"/>
      <c r="M287" s="6" t="str">
        <f>IF(OR(K287="",K287="Pending"),"",L287-J287)</f>
        <v> </v>
      </c>
      <c r="N287" s="6" t="str">
        <f>IF(M287="","",'Summary'!$B$4+SUM($M$2:M287))</f>
        <v> </v>
      </c>
    </row>
    <row r="288" spans="1:14">
      <c r="A288" s="2"/>
      <c r="B288" s="3"/>
      <c r="C288" s="3"/>
      <c r="D288" s="3"/>
      <c r="E288" s="3"/>
      <c r="F288" s="3"/>
      <c r="G288" s="3"/>
      <c r="H288" s="4"/>
      <c r="I288" s="5"/>
      <c r="J288" s="6"/>
      <c r="K288" s="3"/>
      <c r="L288" s="6"/>
      <c r="M288" s="6" t="str">
        <f>IF(OR(K288="",K288="Pending"),"",L288-J288)</f>
        <v> </v>
      </c>
      <c r="N288" s="6" t="str">
        <f>IF(M288="","",'Summary'!$B$4+SUM($M$2:M288))</f>
        <v> </v>
      </c>
    </row>
    <row r="289" spans="1:14">
      <c r="A289" s="2"/>
      <c r="B289" s="3"/>
      <c r="C289" s="3"/>
      <c r="D289" s="3"/>
      <c r="E289" s="3"/>
      <c r="F289" s="3"/>
      <c r="G289" s="3"/>
      <c r="H289" s="4"/>
      <c r="I289" s="5"/>
      <c r="J289" s="6"/>
      <c r="K289" s="3"/>
      <c r="L289" s="6"/>
      <c r="M289" s="6" t="str">
        <f>IF(OR(K289="",K289="Pending"),"",L289-J289)</f>
        <v> </v>
      </c>
      <c r="N289" s="6" t="str">
        <f>IF(M289="","",'Summary'!$B$4+SUM($M$2:M289))</f>
        <v> </v>
      </c>
    </row>
    <row r="290" spans="1:14">
      <c r="A290" s="2"/>
      <c r="B290" s="3"/>
      <c r="C290" s="3"/>
      <c r="D290" s="3"/>
      <c r="E290" s="3"/>
      <c r="F290" s="3"/>
      <c r="G290" s="3"/>
      <c r="H290" s="4"/>
      <c r="I290" s="5"/>
      <c r="J290" s="6"/>
      <c r="K290" s="3"/>
      <c r="L290" s="6"/>
      <c r="M290" s="6" t="str">
        <f>IF(OR(K290="",K290="Pending"),"",L290-J290)</f>
        <v> </v>
      </c>
      <c r="N290" s="6" t="str">
        <f>IF(M290="","",'Summary'!$B$4+SUM($M$2:M290))</f>
        <v> </v>
      </c>
    </row>
    <row r="291" spans="1:14">
      <c r="A291" s="2"/>
      <c r="B291" s="3"/>
      <c r="C291" s="3"/>
      <c r="D291" s="3"/>
      <c r="E291" s="3"/>
      <c r="F291" s="3"/>
      <c r="G291" s="3"/>
      <c r="H291" s="4"/>
      <c r="I291" s="5"/>
      <c r="J291" s="6"/>
      <c r="K291" s="3"/>
      <c r="L291" s="6"/>
      <c r="M291" s="6" t="str">
        <f>IF(OR(K291="",K291="Pending"),"",L291-J291)</f>
        <v> </v>
      </c>
      <c r="N291" s="6" t="str">
        <f>IF(M291="","",'Summary'!$B$4+SUM($M$2:M291))</f>
        <v> </v>
      </c>
    </row>
    <row r="292" spans="1:14">
      <c r="A292" s="2"/>
      <c r="B292" s="3"/>
      <c r="C292" s="3"/>
      <c r="D292" s="3"/>
      <c r="E292" s="3"/>
      <c r="F292" s="3"/>
      <c r="G292" s="3"/>
      <c r="H292" s="4"/>
      <c r="I292" s="5"/>
      <c r="J292" s="6"/>
      <c r="K292" s="3"/>
      <c r="L292" s="6"/>
      <c r="M292" s="6" t="str">
        <f>IF(OR(K292="",K292="Pending"),"",L292-J292)</f>
        <v> </v>
      </c>
      <c r="N292" s="6" t="str">
        <f>IF(M292="","",'Summary'!$B$4+SUM($M$2:M292))</f>
        <v> </v>
      </c>
    </row>
    <row r="293" spans="1:14">
      <c r="A293" s="2"/>
      <c r="B293" s="3"/>
      <c r="C293" s="3"/>
      <c r="D293" s="3"/>
      <c r="E293" s="3"/>
      <c r="F293" s="3"/>
      <c r="G293" s="3"/>
      <c r="H293" s="4"/>
      <c r="I293" s="5"/>
      <c r="J293" s="6"/>
      <c r="K293" s="3"/>
      <c r="L293" s="6"/>
      <c r="M293" s="6" t="str">
        <f>IF(OR(K293="",K293="Pending"),"",L293-J293)</f>
        <v> </v>
      </c>
      <c r="N293" s="6" t="str">
        <f>IF(M293="","",'Summary'!$B$4+SUM($M$2:M293))</f>
        <v> </v>
      </c>
    </row>
    <row r="294" spans="1:14">
      <c r="A294" s="2"/>
      <c r="B294" s="3"/>
      <c r="C294" s="3"/>
      <c r="D294" s="3"/>
      <c r="E294" s="3"/>
      <c r="F294" s="3"/>
      <c r="G294" s="3"/>
      <c r="H294" s="4"/>
      <c r="I294" s="5"/>
      <c r="J294" s="6"/>
      <c r="K294" s="3"/>
      <c r="L294" s="6"/>
      <c r="M294" s="6" t="str">
        <f>IF(OR(K294="",K294="Pending"),"",L294-J294)</f>
        <v> </v>
      </c>
      <c r="N294" s="6" t="str">
        <f>IF(M294="","",'Summary'!$B$4+SUM($M$2:M294))</f>
        <v> </v>
      </c>
    </row>
    <row r="295" spans="1:14">
      <c r="A295" s="2"/>
      <c r="B295" s="3"/>
      <c r="C295" s="3"/>
      <c r="D295" s="3"/>
      <c r="E295" s="3"/>
      <c r="F295" s="3"/>
      <c r="G295" s="3"/>
      <c r="H295" s="4"/>
      <c r="I295" s="5"/>
      <c r="J295" s="6"/>
      <c r="K295" s="3"/>
      <c r="L295" s="6"/>
      <c r="M295" s="6" t="str">
        <f>IF(OR(K295="",K295="Pending"),"",L295-J295)</f>
        <v> </v>
      </c>
      <c r="N295" s="6" t="str">
        <f>IF(M295="","",'Summary'!$B$4+SUM($M$2:M295))</f>
        <v> </v>
      </c>
    </row>
    <row r="296" spans="1:14">
      <c r="A296" s="2"/>
      <c r="B296" s="3"/>
      <c r="C296" s="3"/>
      <c r="D296" s="3"/>
      <c r="E296" s="3"/>
      <c r="F296" s="3"/>
      <c r="G296" s="3"/>
      <c r="H296" s="4"/>
      <c r="I296" s="5"/>
      <c r="J296" s="6"/>
      <c r="K296" s="3"/>
      <c r="L296" s="6"/>
      <c r="M296" s="6" t="str">
        <f>IF(OR(K296="",K296="Pending"),"",L296-J296)</f>
        <v> </v>
      </c>
      <c r="N296" s="6" t="str">
        <f>IF(M296="","",'Summary'!$B$4+SUM($M$2:M296))</f>
        <v> </v>
      </c>
    </row>
    <row r="297" spans="1:14">
      <c r="A297" s="2"/>
      <c r="B297" s="3"/>
      <c r="C297" s="3"/>
      <c r="D297" s="3"/>
      <c r="E297" s="3"/>
      <c r="F297" s="3"/>
      <c r="G297" s="3"/>
      <c r="H297" s="4"/>
      <c r="I297" s="5"/>
      <c r="J297" s="6"/>
      <c r="K297" s="3"/>
      <c r="L297" s="6"/>
      <c r="M297" s="6" t="str">
        <f>IF(OR(K297="",K297="Pending"),"",L297-J297)</f>
        <v> </v>
      </c>
      <c r="N297" s="6" t="str">
        <f>IF(M297="","",'Summary'!$B$4+SUM($M$2:M297))</f>
        <v> </v>
      </c>
    </row>
    <row r="298" spans="1:14">
      <c r="A298" s="2"/>
      <c r="B298" s="3"/>
      <c r="C298" s="3"/>
      <c r="D298" s="3"/>
      <c r="E298" s="3"/>
      <c r="F298" s="3"/>
      <c r="G298" s="3"/>
      <c r="H298" s="4"/>
      <c r="I298" s="5"/>
      <c r="J298" s="6"/>
      <c r="K298" s="3"/>
      <c r="L298" s="6"/>
      <c r="M298" s="6" t="str">
        <f>IF(OR(K298="",K298="Pending"),"",L298-J298)</f>
        <v> </v>
      </c>
      <c r="N298" s="6" t="str">
        <f>IF(M298="","",'Summary'!$B$4+SUM($M$2:M298))</f>
        <v> </v>
      </c>
    </row>
    <row r="299" spans="1:14">
      <c r="A299" s="2"/>
      <c r="B299" s="3"/>
      <c r="C299" s="3"/>
      <c r="D299" s="3"/>
      <c r="E299" s="3"/>
      <c r="F299" s="3"/>
      <c r="G299" s="3"/>
      <c r="H299" s="4"/>
      <c r="I299" s="5"/>
      <c r="J299" s="6"/>
      <c r="K299" s="3"/>
      <c r="L299" s="6"/>
      <c r="M299" s="6" t="str">
        <f>IF(OR(K299="",K299="Pending"),"",L299-J299)</f>
        <v> </v>
      </c>
      <c r="N299" s="6" t="str">
        <f>IF(M299="","",'Summary'!$B$4+SUM($M$2:M299))</f>
        <v> </v>
      </c>
    </row>
    <row r="300" spans="1:14">
      <c r="A300" s="2"/>
      <c r="B300" s="3"/>
      <c r="C300" s="3"/>
      <c r="D300" s="3"/>
      <c r="E300" s="3"/>
      <c r="F300" s="3"/>
      <c r="G300" s="3"/>
      <c r="H300" s="4"/>
      <c r="I300" s="5"/>
      <c r="J300" s="6"/>
      <c r="K300" s="3"/>
      <c r="L300" s="6"/>
      <c r="M300" s="6" t="str">
        <f>IF(OR(K300="",K300="Pending"),"",L300-J300)</f>
        <v> </v>
      </c>
      <c r="N300" s="6" t="str">
        <f>IF(M300="","",'Summary'!$B$4+SUM($M$2:M300))</f>
        <v> </v>
      </c>
    </row>
    <row r="301" spans="1:14">
      <c r="A301" s="2"/>
      <c r="B301" s="3"/>
      <c r="C301" s="3"/>
      <c r="D301" s="3"/>
      <c r="E301" s="3"/>
      <c r="F301" s="3"/>
      <c r="G301" s="3"/>
      <c r="H301" s="4"/>
      <c r="I301" s="5"/>
      <c r="J301" s="6"/>
      <c r="K301" s="3"/>
      <c r="L301" s="6"/>
      <c r="M301" s="6" t="str">
        <f>IF(OR(K301="",K301="Pending"),"",L301-J301)</f>
        <v> </v>
      </c>
      <c r="N301" s="6" t="str">
        <f>IF(M301="","",'Summary'!$B$4+SUM($M$2:M301))</f>
        <v> </v>
      </c>
    </row>
    <row r="302" spans="1:14">
      <c r="A302" s="2"/>
      <c r="B302" s="3"/>
      <c r="C302" s="3"/>
      <c r="D302" s="3"/>
      <c r="E302" s="3"/>
      <c r="F302" s="3"/>
      <c r="G302" s="3"/>
      <c r="H302" s="4"/>
      <c r="I302" s="5"/>
      <c r="J302" s="6"/>
      <c r="K302" s="3"/>
      <c r="L302" s="6"/>
      <c r="M302" s="6" t="str">
        <f>IF(OR(K302="",K302="Pending"),"",L302-J302)</f>
        <v> </v>
      </c>
      <c r="N302" s="6" t="str">
        <f>IF(M302="","",'Summary'!$B$4+SUM($M$2:M302))</f>
        <v> </v>
      </c>
    </row>
    <row r="303" spans="1:14">
      <c r="A303" s="2"/>
      <c r="B303" s="3"/>
      <c r="C303" s="3"/>
      <c r="D303" s="3"/>
      <c r="E303" s="3"/>
      <c r="F303" s="3"/>
      <c r="G303" s="3"/>
      <c r="H303" s="4"/>
      <c r="I303" s="5"/>
      <c r="J303" s="6"/>
      <c r="K303" s="3"/>
      <c r="L303" s="6"/>
      <c r="M303" s="6" t="str">
        <f>IF(OR(K303="",K303="Pending"),"",L303-J303)</f>
        <v> </v>
      </c>
      <c r="N303" s="6" t="str">
        <f>IF(M303="","",'Summary'!$B$4+SUM($M$2:M303))</f>
        <v> </v>
      </c>
    </row>
    <row r="304" spans="1:14">
      <c r="A304" s="2"/>
      <c r="B304" s="3"/>
      <c r="C304" s="3"/>
      <c r="D304" s="3"/>
      <c r="E304" s="3"/>
      <c r="F304" s="3"/>
      <c r="G304" s="3"/>
      <c r="H304" s="4"/>
      <c r="I304" s="5"/>
      <c r="J304" s="6"/>
      <c r="K304" s="3"/>
      <c r="L304" s="6"/>
      <c r="M304" s="6" t="str">
        <f>IF(OR(K304="",K304="Pending"),"",L304-J304)</f>
        <v> </v>
      </c>
      <c r="N304" s="6" t="str">
        <f>IF(M304="","",'Summary'!$B$4+SUM($M$2:M304))</f>
        <v> </v>
      </c>
    </row>
    <row r="305" spans="1:14">
      <c r="A305" s="2"/>
      <c r="B305" s="3"/>
      <c r="C305" s="3"/>
      <c r="D305" s="3"/>
      <c r="E305" s="3"/>
      <c r="F305" s="3"/>
      <c r="G305" s="3"/>
      <c r="H305" s="4"/>
      <c r="I305" s="5"/>
      <c r="J305" s="6"/>
      <c r="K305" s="3"/>
      <c r="L305" s="6"/>
      <c r="M305" s="6" t="str">
        <f>IF(OR(K305="",K305="Pending"),"",L305-J305)</f>
        <v> </v>
      </c>
      <c r="N305" s="6" t="str">
        <f>IF(M305="","",'Summary'!$B$4+SUM($M$2:M305))</f>
        <v> </v>
      </c>
    </row>
    <row r="306" spans="1:14">
      <c r="A306" s="2"/>
      <c r="B306" s="3"/>
      <c r="C306" s="3"/>
      <c r="D306" s="3"/>
      <c r="E306" s="3"/>
      <c r="F306" s="3"/>
      <c r="G306" s="3"/>
      <c r="H306" s="4"/>
      <c r="I306" s="5"/>
      <c r="J306" s="6"/>
      <c r="K306" s="3"/>
      <c r="L306" s="6"/>
      <c r="M306" s="6" t="str">
        <f>IF(OR(K306="",K306="Pending"),"",L306-J306)</f>
        <v> </v>
      </c>
      <c r="N306" s="6" t="str">
        <f>IF(M306="","",'Summary'!$B$4+SUM($M$2:M306))</f>
        <v> </v>
      </c>
    </row>
    <row r="307" spans="1:14">
      <c r="A307" s="2"/>
      <c r="B307" s="3"/>
      <c r="C307" s="3"/>
      <c r="D307" s="3"/>
      <c r="E307" s="3"/>
      <c r="F307" s="3"/>
      <c r="G307" s="3"/>
      <c r="H307" s="4"/>
      <c r="I307" s="5"/>
      <c r="J307" s="6"/>
      <c r="K307" s="3"/>
      <c r="L307" s="6"/>
      <c r="M307" s="6" t="str">
        <f>IF(OR(K307="",K307="Pending"),"",L307-J307)</f>
        <v> </v>
      </c>
      <c r="N307" s="6" t="str">
        <f>IF(M307="","",'Summary'!$B$4+SUM($M$2:M307))</f>
        <v> </v>
      </c>
    </row>
    <row r="308" spans="1:14">
      <c r="A308" s="2"/>
      <c r="B308" s="3"/>
      <c r="C308" s="3"/>
      <c r="D308" s="3"/>
      <c r="E308" s="3"/>
      <c r="F308" s="3"/>
      <c r="G308" s="3"/>
      <c r="H308" s="4"/>
      <c r="I308" s="5"/>
      <c r="J308" s="6"/>
      <c r="K308" s="3"/>
      <c r="L308" s="6"/>
      <c r="M308" s="6" t="str">
        <f>IF(OR(K308="",K308="Pending"),"",L308-J308)</f>
        <v> </v>
      </c>
      <c r="N308" s="6" t="str">
        <f>IF(M308="","",'Summary'!$B$4+SUM($M$2:M308))</f>
        <v> </v>
      </c>
    </row>
    <row r="309" spans="1:14">
      <c r="A309" s="2"/>
      <c r="B309" s="3"/>
      <c r="C309" s="3"/>
      <c r="D309" s="3"/>
      <c r="E309" s="3"/>
      <c r="F309" s="3"/>
      <c r="G309" s="3"/>
      <c r="H309" s="4"/>
      <c r="I309" s="5"/>
      <c r="J309" s="6"/>
      <c r="K309" s="3"/>
      <c r="L309" s="6"/>
      <c r="M309" s="6" t="str">
        <f>IF(OR(K309="",K309="Pending"),"",L309-J309)</f>
        <v> </v>
      </c>
      <c r="N309" s="6" t="str">
        <f>IF(M309="","",'Summary'!$B$4+SUM($M$2:M309))</f>
        <v> </v>
      </c>
    </row>
    <row r="310" spans="1:14">
      <c r="A310" s="2"/>
      <c r="B310" s="3"/>
      <c r="C310" s="3"/>
      <c r="D310" s="3"/>
      <c r="E310" s="3"/>
      <c r="F310" s="3"/>
      <c r="G310" s="3"/>
      <c r="H310" s="4"/>
      <c r="I310" s="5"/>
      <c r="J310" s="6"/>
      <c r="K310" s="3"/>
      <c r="L310" s="6"/>
      <c r="M310" s="6" t="str">
        <f>IF(OR(K310="",K310="Pending"),"",L310-J310)</f>
        <v> </v>
      </c>
      <c r="N310" s="6" t="str">
        <f>IF(M310="","",'Summary'!$B$4+SUM($M$2:M310))</f>
        <v> </v>
      </c>
    </row>
    <row r="311" spans="1:14">
      <c r="A311" s="2"/>
      <c r="B311" s="3"/>
      <c r="C311" s="3"/>
      <c r="D311" s="3"/>
      <c r="E311" s="3"/>
      <c r="F311" s="3"/>
      <c r="G311" s="3"/>
      <c r="H311" s="4"/>
      <c r="I311" s="5"/>
      <c r="J311" s="6"/>
      <c r="K311" s="3"/>
      <c r="L311" s="6"/>
      <c r="M311" s="6" t="str">
        <f>IF(OR(K311="",K311="Pending"),"",L311-J311)</f>
        <v> </v>
      </c>
      <c r="N311" s="6" t="str">
        <f>IF(M311="","",'Summary'!$B$4+SUM($M$2:M311))</f>
        <v> </v>
      </c>
    </row>
    <row r="312" spans="1:14">
      <c r="A312" s="2"/>
      <c r="B312" s="3"/>
      <c r="C312" s="3"/>
      <c r="D312" s="3"/>
      <c r="E312" s="3"/>
      <c r="F312" s="3"/>
      <c r="G312" s="3"/>
      <c r="H312" s="4"/>
      <c r="I312" s="5"/>
      <c r="J312" s="6"/>
      <c r="K312" s="3"/>
      <c r="L312" s="6"/>
      <c r="M312" s="6" t="str">
        <f>IF(OR(K312="",K312="Pending"),"",L312-J312)</f>
        <v> </v>
      </c>
      <c r="N312" s="6" t="str">
        <f>IF(M312="","",'Summary'!$B$4+SUM($M$2:M312))</f>
        <v> </v>
      </c>
    </row>
    <row r="313" spans="1:14">
      <c r="A313" s="2"/>
      <c r="B313" s="3"/>
      <c r="C313" s="3"/>
      <c r="D313" s="3"/>
      <c r="E313" s="3"/>
      <c r="F313" s="3"/>
      <c r="G313" s="3"/>
      <c r="H313" s="4"/>
      <c r="I313" s="5"/>
      <c r="J313" s="6"/>
      <c r="K313" s="3"/>
      <c r="L313" s="6"/>
      <c r="M313" s="6" t="str">
        <f>IF(OR(K313="",K313="Pending"),"",L313-J313)</f>
        <v> </v>
      </c>
      <c r="N313" s="6" t="str">
        <f>IF(M313="","",'Summary'!$B$4+SUM($M$2:M313))</f>
        <v> </v>
      </c>
    </row>
    <row r="314" spans="1:14">
      <c r="A314" s="2"/>
      <c r="B314" s="3"/>
      <c r="C314" s="3"/>
      <c r="D314" s="3"/>
      <c r="E314" s="3"/>
      <c r="F314" s="3"/>
      <c r="G314" s="3"/>
      <c r="H314" s="4"/>
      <c r="I314" s="5"/>
      <c r="J314" s="6"/>
      <c r="K314" s="3"/>
      <c r="L314" s="6"/>
      <c r="M314" s="6" t="str">
        <f>IF(OR(K314="",K314="Pending"),"",L314-J314)</f>
        <v> </v>
      </c>
      <c r="N314" s="6" t="str">
        <f>IF(M314="","",'Summary'!$B$4+SUM($M$2:M314))</f>
        <v> </v>
      </c>
    </row>
    <row r="315" spans="1:14">
      <c r="A315" s="2"/>
      <c r="B315" s="3"/>
      <c r="C315" s="3"/>
      <c r="D315" s="3"/>
      <c r="E315" s="3"/>
      <c r="F315" s="3"/>
      <c r="G315" s="3"/>
      <c r="H315" s="4"/>
      <c r="I315" s="5"/>
      <c r="J315" s="6"/>
      <c r="K315" s="3"/>
      <c r="L315" s="6"/>
      <c r="M315" s="6" t="str">
        <f>IF(OR(K315="",K315="Pending"),"",L315-J315)</f>
        <v> </v>
      </c>
      <c r="N315" s="6" t="str">
        <f>IF(M315="","",'Summary'!$B$4+SUM($M$2:M315))</f>
        <v> </v>
      </c>
    </row>
    <row r="316" spans="1:14">
      <c r="A316" s="2"/>
      <c r="B316" s="3"/>
      <c r="C316" s="3"/>
      <c r="D316" s="3"/>
      <c r="E316" s="3"/>
      <c r="F316" s="3"/>
      <c r="G316" s="3"/>
      <c r="H316" s="4"/>
      <c r="I316" s="5"/>
      <c r="J316" s="6"/>
      <c r="K316" s="3"/>
      <c r="L316" s="6"/>
      <c r="M316" s="6" t="str">
        <f>IF(OR(K316="",K316="Pending"),"",L316-J316)</f>
        <v> </v>
      </c>
      <c r="N316" s="6" t="str">
        <f>IF(M316="","",'Summary'!$B$4+SUM($M$2:M316))</f>
        <v> </v>
      </c>
    </row>
    <row r="317" spans="1:14">
      <c r="A317" s="2"/>
      <c r="B317" s="3"/>
      <c r="C317" s="3"/>
      <c r="D317" s="3"/>
      <c r="E317" s="3"/>
      <c r="F317" s="3"/>
      <c r="G317" s="3"/>
      <c r="H317" s="4"/>
      <c r="I317" s="5"/>
      <c r="J317" s="6"/>
      <c r="K317" s="3"/>
      <c r="L317" s="6"/>
      <c r="M317" s="6" t="str">
        <f>IF(OR(K317="",K317="Pending"),"",L317-J317)</f>
        <v> </v>
      </c>
      <c r="N317" s="6" t="str">
        <f>IF(M317="","",'Summary'!$B$4+SUM($M$2:M317))</f>
        <v> </v>
      </c>
    </row>
    <row r="318" spans="1:14">
      <c r="A318" s="2"/>
      <c r="B318" s="3"/>
      <c r="C318" s="3"/>
      <c r="D318" s="3"/>
      <c r="E318" s="3"/>
      <c r="F318" s="3"/>
      <c r="G318" s="3"/>
      <c r="H318" s="4"/>
      <c r="I318" s="5"/>
      <c r="J318" s="6"/>
      <c r="K318" s="3"/>
      <c r="L318" s="6"/>
      <c r="M318" s="6" t="str">
        <f>IF(OR(K318="",K318="Pending"),"",L318-J318)</f>
        <v> </v>
      </c>
      <c r="N318" s="6" t="str">
        <f>IF(M318="","",'Summary'!$B$4+SUM($M$2:M318))</f>
        <v> </v>
      </c>
    </row>
    <row r="319" spans="1:14">
      <c r="A319" s="2"/>
      <c r="B319" s="3"/>
      <c r="C319" s="3"/>
      <c r="D319" s="3"/>
      <c r="E319" s="3"/>
      <c r="F319" s="3"/>
      <c r="G319" s="3"/>
      <c r="H319" s="4"/>
      <c r="I319" s="5"/>
      <c r="J319" s="6"/>
      <c r="K319" s="3"/>
      <c r="L319" s="6"/>
      <c r="M319" s="6" t="str">
        <f>IF(OR(K319="",K319="Pending"),"",L319-J319)</f>
        <v> </v>
      </c>
      <c r="N319" s="6" t="str">
        <f>IF(M319="","",'Summary'!$B$4+SUM($M$2:M319))</f>
        <v> </v>
      </c>
    </row>
    <row r="320" spans="1:14">
      <c r="A320" s="2"/>
      <c r="B320" s="3"/>
      <c r="C320" s="3"/>
      <c r="D320" s="3"/>
      <c r="E320" s="3"/>
      <c r="F320" s="3"/>
      <c r="G320" s="3"/>
      <c r="H320" s="4"/>
      <c r="I320" s="5"/>
      <c r="J320" s="6"/>
      <c r="K320" s="3"/>
      <c r="L320" s="6"/>
      <c r="M320" s="6" t="str">
        <f>IF(OR(K320="",K320="Pending"),"",L320-J320)</f>
        <v> </v>
      </c>
      <c r="N320" s="6" t="str">
        <f>IF(M320="","",'Summary'!$B$4+SUM($M$2:M320))</f>
        <v> </v>
      </c>
    </row>
    <row r="321" spans="1:14">
      <c r="A321" s="2"/>
      <c r="B321" s="3"/>
      <c r="C321" s="3"/>
      <c r="D321" s="3"/>
      <c r="E321" s="3"/>
      <c r="F321" s="3"/>
      <c r="G321" s="3"/>
      <c r="H321" s="4"/>
      <c r="I321" s="5"/>
      <c r="J321" s="6"/>
      <c r="K321" s="3"/>
      <c r="L321" s="6"/>
      <c r="M321" s="6" t="str">
        <f>IF(OR(K321="",K321="Pending"),"",L321-J321)</f>
        <v> </v>
      </c>
      <c r="N321" s="6" t="str">
        <f>IF(M321="","",'Summary'!$B$4+SUM($M$2:M321))</f>
        <v> </v>
      </c>
    </row>
    <row r="322" spans="1:14">
      <c r="A322" s="2"/>
      <c r="B322" s="3"/>
      <c r="C322" s="3"/>
      <c r="D322" s="3"/>
      <c r="E322" s="3"/>
      <c r="F322" s="3"/>
      <c r="G322" s="3"/>
      <c r="H322" s="4"/>
      <c r="I322" s="5"/>
      <c r="J322" s="6"/>
      <c r="K322" s="3"/>
      <c r="L322" s="6"/>
      <c r="M322" s="6" t="str">
        <f>IF(OR(K322="",K322="Pending"),"",L322-J322)</f>
        <v> </v>
      </c>
      <c r="N322" s="6" t="str">
        <f>IF(M322="","",'Summary'!$B$4+SUM($M$2:M322))</f>
        <v> </v>
      </c>
    </row>
    <row r="323" spans="1:14">
      <c r="A323" s="2"/>
      <c r="B323" s="3"/>
      <c r="C323" s="3"/>
      <c r="D323" s="3"/>
      <c r="E323" s="3"/>
      <c r="F323" s="3"/>
      <c r="G323" s="3"/>
      <c r="H323" s="4"/>
      <c r="I323" s="5"/>
      <c r="J323" s="6"/>
      <c r="K323" s="3"/>
      <c r="L323" s="6"/>
      <c r="M323" s="6" t="str">
        <f>IF(OR(K323="",K323="Pending"),"",L323-J323)</f>
        <v> </v>
      </c>
      <c r="N323" s="6" t="str">
        <f>IF(M323="","",'Summary'!$B$4+SUM($M$2:M323))</f>
        <v> </v>
      </c>
    </row>
    <row r="324" spans="1:14">
      <c r="A324" s="2"/>
      <c r="B324" s="3"/>
      <c r="C324" s="3"/>
      <c r="D324" s="3"/>
      <c r="E324" s="3"/>
      <c r="F324" s="3"/>
      <c r="G324" s="3"/>
      <c r="H324" s="4"/>
      <c r="I324" s="5"/>
      <c r="J324" s="6"/>
      <c r="K324" s="3"/>
      <c r="L324" s="6"/>
      <c r="M324" s="6" t="str">
        <f>IF(OR(K324="",K324="Pending"),"",L324-J324)</f>
        <v> </v>
      </c>
      <c r="N324" s="6" t="str">
        <f>IF(M324="","",'Summary'!$B$4+SUM($M$2:M324))</f>
        <v> </v>
      </c>
    </row>
    <row r="325" spans="1:14">
      <c r="A325" s="2"/>
      <c r="B325" s="3"/>
      <c r="C325" s="3"/>
      <c r="D325" s="3"/>
      <c r="E325" s="3"/>
      <c r="F325" s="3"/>
      <c r="G325" s="3"/>
      <c r="H325" s="4"/>
      <c r="I325" s="5"/>
      <c r="J325" s="6"/>
      <c r="K325" s="3"/>
      <c r="L325" s="6"/>
      <c r="M325" s="6" t="str">
        <f>IF(OR(K325="",K325="Pending"),"",L325-J325)</f>
        <v> </v>
      </c>
      <c r="N325" s="6" t="str">
        <f>IF(M325="","",'Summary'!$B$4+SUM($M$2:M325))</f>
        <v> </v>
      </c>
    </row>
    <row r="326" spans="1:14">
      <c r="A326" s="2"/>
      <c r="B326" s="3"/>
      <c r="C326" s="3"/>
      <c r="D326" s="3"/>
      <c r="E326" s="3"/>
      <c r="F326" s="3"/>
      <c r="G326" s="3"/>
      <c r="H326" s="4"/>
      <c r="I326" s="5"/>
      <c r="J326" s="6"/>
      <c r="K326" s="3"/>
      <c r="L326" s="6"/>
      <c r="M326" s="6" t="str">
        <f>IF(OR(K326="",K326="Pending"),"",L326-J326)</f>
        <v> </v>
      </c>
      <c r="N326" s="6" t="str">
        <f>IF(M326="","",'Summary'!$B$4+SUM($M$2:M326))</f>
        <v> </v>
      </c>
    </row>
    <row r="327" spans="1:14">
      <c r="A327" s="2"/>
      <c r="B327" s="3"/>
      <c r="C327" s="3"/>
      <c r="D327" s="3"/>
      <c r="E327" s="3"/>
      <c r="F327" s="3"/>
      <c r="G327" s="3"/>
      <c r="H327" s="4"/>
      <c r="I327" s="5"/>
      <c r="J327" s="6"/>
      <c r="K327" s="3"/>
      <c r="L327" s="6"/>
      <c r="M327" s="6" t="str">
        <f>IF(OR(K327="",K327="Pending"),"",L327-J327)</f>
        <v> </v>
      </c>
      <c r="N327" s="6" t="str">
        <f>IF(M327="","",'Summary'!$B$4+SUM($M$2:M327))</f>
        <v> </v>
      </c>
    </row>
    <row r="328" spans="1:14">
      <c r="A328" s="2"/>
      <c r="B328" s="3"/>
      <c r="C328" s="3"/>
      <c r="D328" s="3"/>
      <c r="E328" s="3"/>
      <c r="F328" s="3"/>
      <c r="G328" s="3"/>
      <c r="H328" s="4"/>
      <c r="I328" s="5"/>
      <c r="J328" s="6"/>
      <c r="K328" s="3"/>
      <c r="L328" s="6"/>
      <c r="M328" s="6" t="str">
        <f>IF(OR(K328="",K328="Pending"),"",L328-J328)</f>
        <v> </v>
      </c>
      <c r="N328" s="6" t="str">
        <f>IF(M328="","",'Summary'!$B$4+SUM($M$2:M328))</f>
        <v> </v>
      </c>
    </row>
    <row r="329" spans="1:14">
      <c r="A329" s="2"/>
      <c r="B329" s="3"/>
      <c r="C329" s="3"/>
      <c r="D329" s="3"/>
      <c r="E329" s="3"/>
      <c r="F329" s="3"/>
      <c r="G329" s="3"/>
      <c r="H329" s="4"/>
      <c r="I329" s="5"/>
      <c r="J329" s="6"/>
      <c r="K329" s="3"/>
      <c r="L329" s="6"/>
      <c r="M329" s="6" t="str">
        <f>IF(OR(K329="",K329="Pending"),"",L329-J329)</f>
        <v> </v>
      </c>
      <c r="N329" s="6" t="str">
        <f>IF(M329="","",'Summary'!$B$4+SUM($M$2:M329))</f>
        <v> </v>
      </c>
    </row>
    <row r="330" spans="1:14">
      <c r="A330" s="2"/>
      <c r="B330" s="3"/>
      <c r="C330" s="3"/>
      <c r="D330" s="3"/>
      <c r="E330" s="3"/>
      <c r="F330" s="3"/>
      <c r="G330" s="3"/>
      <c r="H330" s="4"/>
      <c r="I330" s="5"/>
      <c r="J330" s="6"/>
      <c r="K330" s="3"/>
      <c r="L330" s="6"/>
      <c r="M330" s="6" t="str">
        <f>IF(OR(K330="",K330="Pending"),"",L330-J330)</f>
        <v> </v>
      </c>
      <c r="N330" s="6" t="str">
        <f>IF(M330="","",'Summary'!$B$4+SUM($M$2:M330))</f>
        <v> </v>
      </c>
    </row>
    <row r="331" spans="1:14">
      <c r="A331" s="2"/>
      <c r="B331" s="3"/>
      <c r="C331" s="3"/>
      <c r="D331" s="3"/>
      <c r="E331" s="3"/>
      <c r="F331" s="3"/>
      <c r="G331" s="3"/>
      <c r="H331" s="4"/>
      <c r="I331" s="5"/>
      <c r="J331" s="6"/>
      <c r="K331" s="3"/>
      <c r="L331" s="6"/>
      <c r="M331" s="6" t="str">
        <f>IF(OR(K331="",K331="Pending"),"",L331-J331)</f>
        <v> </v>
      </c>
      <c r="N331" s="6" t="str">
        <f>IF(M331="","",'Summary'!$B$4+SUM($M$2:M331))</f>
        <v> </v>
      </c>
    </row>
    <row r="332" spans="1:14">
      <c r="A332" s="2"/>
      <c r="B332" s="3"/>
      <c r="C332" s="3"/>
      <c r="D332" s="3"/>
      <c r="E332" s="3"/>
      <c r="F332" s="3"/>
      <c r="G332" s="3"/>
      <c r="H332" s="4"/>
      <c r="I332" s="5"/>
      <c r="J332" s="6"/>
      <c r="K332" s="3"/>
      <c r="L332" s="6"/>
      <c r="M332" s="6" t="str">
        <f>IF(OR(K332="",K332="Pending"),"",L332-J332)</f>
        <v> </v>
      </c>
      <c r="N332" s="6" t="str">
        <f>IF(M332="","",'Summary'!$B$4+SUM($M$2:M332))</f>
        <v> </v>
      </c>
    </row>
    <row r="333" spans="1:14">
      <c r="A333" s="2"/>
      <c r="B333" s="3"/>
      <c r="C333" s="3"/>
      <c r="D333" s="3"/>
      <c r="E333" s="3"/>
      <c r="F333" s="3"/>
      <c r="G333" s="3"/>
      <c r="H333" s="4"/>
      <c r="I333" s="5"/>
      <c r="J333" s="6"/>
      <c r="K333" s="3"/>
      <c r="L333" s="6"/>
      <c r="M333" s="6" t="str">
        <f>IF(OR(K333="",K333="Pending"),"",L333-J333)</f>
        <v> </v>
      </c>
      <c r="N333" s="6" t="str">
        <f>IF(M333="","",'Summary'!$B$4+SUM($M$2:M333))</f>
        <v> </v>
      </c>
    </row>
    <row r="334" spans="1:14">
      <c r="A334" s="2"/>
      <c r="B334" s="3"/>
      <c r="C334" s="3"/>
      <c r="D334" s="3"/>
      <c r="E334" s="3"/>
      <c r="F334" s="3"/>
      <c r="G334" s="3"/>
      <c r="H334" s="4"/>
      <c r="I334" s="5"/>
      <c r="J334" s="6"/>
      <c r="K334" s="3"/>
      <c r="L334" s="6"/>
      <c r="M334" s="6" t="str">
        <f>IF(OR(K334="",K334="Pending"),"",L334-J334)</f>
        <v> </v>
      </c>
      <c r="N334" s="6" t="str">
        <f>IF(M334="","",'Summary'!$B$4+SUM($M$2:M334))</f>
        <v> </v>
      </c>
    </row>
    <row r="335" spans="1:14">
      <c r="A335" s="2"/>
      <c r="B335" s="3"/>
      <c r="C335" s="3"/>
      <c r="D335" s="3"/>
      <c r="E335" s="3"/>
      <c r="F335" s="3"/>
      <c r="G335" s="3"/>
      <c r="H335" s="4"/>
      <c r="I335" s="5"/>
      <c r="J335" s="6"/>
      <c r="K335" s="3"/>
      <c r="L335" s="6"/>
      <c r="M335" s="6" t="str">
        <f>IF(OR(K335="",K335="Pending"),"",L335-J335)</f>
        <v> </v>
      </c>
      <c r="N335" s="6" t="str">
        <f>IF(M335="","",'Summary'!$B$4+SUM($M$2:M335))</f>
        <v> </v>
      </c>
    </row>
    <row r="336" spans="1:14">
      <c r="A336" s="2"/>
      <c r="B336" s="3"/>
      <c r="C336" s="3"/>
      <c r="D336" s="3"/>
      <c r="E336" s="3"/>
      <c r="F336" s="3"/>
      <c r="G336" s="3"/>
      <c r="H336" s="4"/>
      <c r="I336" s="5"/>
      <c r="J336" s="6"/>
      <c r="K336" s="3"/>
      <c r="L336" s="6"/>
      <c r="M336" s="6" t="str">
        <f>IF(OR(K336="",K336="Pending"),"",L336-J336)</f>
        <v> </v>
      </c>
      <c r="N336" s="6" t="str">
        <f>IF(M336="","",'Summary'!$B$4+SUM($M$2:M336))</f>
        <v> </v>
      </c>
    </row>
    <row r="337" spans="1:14">
      <c r="A337" s="2"/>
      <c r="B337" s="3"/>
      <c r="C337" s="3"/>
      <c r="D337" s="3"/>
      <c r="E337" s="3"/>
      <c r="F337" s="3"/>
      <c r="G337" s="3"/>
      <c r="H337" s="4"/>
      <c r="I337" s="5"/>
      <c r="J337" s="6"/>
      <c r="K337" s="3"/>
      <c r="L337" s="6"/>
      <c r="M337" s="6" t="str">
        <f>IF(OR(K337="",K337="Pending"),"",L337-J337)</f>
        <v> </v>
      </c>
      <c r="N337" s="6" t="str">
        <f>IF(M337="","",'Summary'!$B$4+SUM($M$2:M337))</f>
        <v> </v>
      </c>
    </row>
    <row r="338" spans="1:14">
      <c r="A338" s="2"/>
      <c r="B338" s="3"/>
      <c r="C338" s="3"/>
      <c r="D338" s="3"/>
      <c r="E338" s="3"/>
      <c r="F338" s="3"/>
      <c r="G338" s="3"/>
      <c r="H338" s="4"/>
      <c r="I338" s="5"/>
      <c r="J338" s="6"/>
      <c r="K338" s="3"/>
      <c r="L338" s="6"/>
      <c r="M338" s="6" t="str">
        <f>IF(OR(K338="",K338="Pending"),"",L338-J338)</f>
        <v> </v>
      </c>
      <c r="N338" s="6" t="str">
        <f>IF(M338="","",'Summary'!$B$4+SUM($M$2:M338))</f>
        <v> </v>
      </c>
    </row>
    <row r="339" spans="1:14">
      <c r="A339" s="2"/>
      <c r="B339" s="3"/>
      <c r="C339" s="3"/>
      <c r="D339" s="3"/>
      <c r="E339" s="3"/>
      <c r="F339" s="3"/>
      <c r="G339" s="3"/>
      <c r="H339" s="4"/>
      <c r="I339" s="5"/>
      <c r="J339" s="6"/>
      <c r="K339" s="3"/>
      <c r="L339" s="6"/>
      <c r="M339" s="6" t="str">
        <f>IF(OR(K339="",K339="Pending"),"",L339-J339)</f>
        <v> </v>
      </c>
      <c r="N339" s="6" t="str">
        <f>IF(M339="","",'Summary'!$B$4+SUM($M$2:M339))</f>
        <v> </v>
      </c>
    </row>
    <row r="340" spans="1:14">
      <c r="A340" s="2"/>
      <c r="B340" s="3"/>
      <c r="C340" s="3"/>
      <c r="D340" s="3"/>
      <c r="E340" s="3"/>
      <c r="F340" s="3"/>
      <c r="G340" s="3"/>
      <c r="H340" s="4"/>
      <c r="I340" s="5"/>
      <c r="J340" s="6"/>
      <c r="K340" s="3"/>
      <c r="L340" s="6"/>
      <c r="M340" s="6" t="str">
        <f>IF(OR(K340="",K340="Pending"),"",L340-J340)</f>
        <v> </v>
      </c>
      <c r="N340" s="6" t="str">
        <f>IF(M340="","",'Summary'!$B$4+SUM($M$2:M340))</f>
        <v> </v>
      </c>
    </row>
    <row r="341" spans="1:14">
      <c r="A341" s="2"/>
      <c r="B341" s="3"/>
      <c r="C341" s="3"/>
      <c r="D341" s="3"/>
      <c r="E341" s="3"/>
      <c r="F341" s="3"/>
      <c r="G341" s="3"/>
      <c r="H341" s="4"/>
      <c r="I341" s="5"/>
      <c r="J341" s="6"/>
      <c r="K341" s="3"/>
      <c r="L341" s="6"/>
      <c r="M341" s="6" t="str">
        <f>IF(OR(K341="",K341="Pending"),"",L341-J341)</f>
        <v> </v>
      </c>
      <c r="N341" s="6" t="str">
        <f>IF(M341="","",'Summary'!$B$4+SUM($M$2:M341))</f>
        <v> </v>
      </c>
    </row>
    <row r="342" spans="1:14">
      <c r="A342" s="2"/>
      <c r="B342" s="3"/>
      <c r="C342" s="3"/>
      <c r="D342" s="3"/>
      <c r="E342" s="3"/>
      <c r="F342" s="3"/>
      <c r="G342" s="3"/>
      <c r="H342" s="4"/>
      <c r="I342" s="5"/>
      <c r="J342" s="6"/>
      <c r="K342" s="3"/>
      <c r="L342" s="6"/>
      <c r="M342" s="6" t="str">
        <f>IF(OR(K342="",K342="Pending"),"",L342-J342)</f>
        <v> </v>
      </c>
      <c r="N342" s="6" t="str">
        <f>IF(M342="","",'Summary'!$B$4+SUM($M$2:M342))</f>
        <v> </v>
      </c>
    </row>
    <row r="343" spans="1:14">
      <c r="A343" s="2"/>
      <c r="B343" s="3"/>
      <c r="C343" s="3"/>
      <c r="D343" s="3"/>
      <c r="E343" s="3"/>
      <c r="F343" s="3"/>
      <c r="G343" s="3"/>
      <c r="H343" s="4"/>
      <c r="I343" s="5"/>
      <c r="J343" s="6"/>
      <c r="K343" s="3"/>
      <c r="L343" s="6"/>
      <c r="M343" s="6" t="str">
        <f>IF(OR(K343="",K343="Pending"),"",L343-J343)</f>
        <v> </v>
      </c>
      <c r="N343" s="6" t="str">
        <f>IF(M343="","",'Summary'!$B$4+SUM($M$2:M343))</f>
        <v> </v>
      </c>
    </row>
    <row r="344" spans="1:14">
      <c r="A344" s="2"/>
      <c r="B344" s="3"/>
      <c r="C344" s="3"/>
      <c r="D344" s="3"/>
      <c r="E344" s="3"/>
      <c r="F344" s="3"/>
      <c r="G344" s="3"/>
      <c r="H344" s="4"/>
      <c r="I344" s="5"/>
      <c r="J344" s="6"/>
      <c r="K344" s="3"/>
      <c r="L344" s="6"/>
      <c r="M344" s="6" t="str">
        <f>IF(OR(K344="",K344="Pending"),"",L344-J344)</f>
        <v> </v>
      </c>
      <c r="N344" s="6" t="str">
        <f>IF(M344="","",'Summary'!$B$4+SUM($M$2:M344))</f>
        <v> </v>
      </c>
    </row>
    <row r="345" spans="1:14">
      <c r="A345" s="2"/>
      <c r="B345" s="3"/>
      <c r="C345" s="3"/>
      <c r="D345" s="3"/>
      <c r="E345" s="3"/>
      <c r="F345" s="3"/>
      <c r="G345" s="3"/>
      <c r="H345" s="4"/>
      <c r="I345" s="5"/>
      <c r="J345" s="6"/>
      <c r="K345" s="3"/>
      <c r="L345" s="6"/>
      <c r="M345" s="6" t="str">
        <f>IF(OR(K345="",K345="Pending"),"",L345-J345)</f>
        <v> </v>
      </c>
      <c r="N345" s="6" t="str">
        <f>IF(M345="","",'Summary'!$B$4+SUM($M$2:M345))</f>
        <v> </v>
      </c>
    </row>
    <row r="346" spans="1:14">
      <c r="A346" s="2"/>
      <c r="B346" s="3"/>
      <c r="C346" s="3"/>
      <c r="D346" s="3"/>
      <c r="E346" s="3"/>
      <c r="F346" s="3"/>
      <c r="G346" s="3"/>
      <c r="H346" s="4"/>
      <c r="I346" s="5"/>
      <c r="J346" s="6"/>
      <c r="K346" s="3"/>
      <c r="L346" s="6"/>
      <c r="M346" s="6" t="str">
        <f>IF(OR(K346="",K346="Pending"),"",L346-J346)</f>
        <v> </v>
      </c>
      <c r="N346" s="6" t="str">
        <f>IF(M346="","",'Summary'!$B$4+SUM($M$2:M346))</f>
        <v> </v>
      </c>
    </row>
    <row r="347" spans="1:14">
      <c r="A347" s="2"/>
      <c r="B347" s="3"/>
      <c r="C347" s="3"/>
      <c r="D347" s="3"/>
      <c r="E347" s="3"/>
      <c r="F347" s="3"/>
      <c r="G347" s="3"/>
      <c r="H347" s="4"/>
      <c r="I347" s="5"/>
      <c r="J347" s="6"/>
      <c r="K347" s="3"/>
      <c r="L347" s="6"/>
      <c r="M347" s="6" t="str">
        <f>IF(OR(K347="",K347="Pending"),"",L347-J347)</f>
        <v> </v>
      </c>
      <c r="N347" s="6" t="str">
        <f>IF(M347="","",'Summary'!$B$4+SUM($M$2:M347))</f>
        <v> </v>
      </c>
    </row>
    <row r="348" spans="1:14">
      <c r="A348" s="2"/>
      <c r="B348" s="3"/>
      <c r="C348" s="3"/>
      <c r="D348" s="3"/>
      <c r="E348" s="3"/>
      <c r="F348" s="3"/>
      <c r="G348" s="3"/>
      <c r="H348" s="4"/>
      <c r="I348" s="5"/>
      <c r="J348" s="6"/>
      <c r="K348" s="3"/>
      <c r="L348" s="6"/>
      <c r="M348" s="6" t="str">
        <f>IF(OR(K348="",K348="Pending"),"",L348-J348)</f>
        <v> </v>
      </c>
      <c r="N348" s="6" t="str">
        <f>IF(M348="","",'Summary'!$B$4+SUM($M$2:M348))</f>
        <v> </v>
      </c>
    </row>
    <row r="349" spans="1:14">
      <c r="A349" s="2"/>
      <c r="B349" s="3"/>
      <c r="C349" s="3"/>
      <c r="D349" s="3"/>
      <c r="E349" s="3"/>
      <c r="F349" s="3"/>
      <c r="G349" s="3"/>
      <c r="H349" s="4"/>
      <c r="I349" s="5"/>
      <c r="J349" s="6"/>
      <c r="K349" s="3"/>
      <c r="L349" s="6"/>
      <c r="M349" s="6" t="str">
        <f>IF(OR(K349="",K349="Pending"),"",L349-J349)</f>
        <v> </v>
      </c>
      <c r="N349" s="6" t="str">
        <f>IF(M349="","",'Summary'!$B$4+SUM($M$2:M349))</f>
        <v> </v>
      </c>
    </row>
    <row r="350" spans="1:14">
      <c r="A350" s="2"/>
      <c r="B350" s="3"/>
      <c r="C350" s="3"/>
      <c r="D350" s="3"/>
      <c r="E350" s="3"/>
      <c r="F350" s="3"/>
      <c r="G350" s="3"/>
      <c r="H350" s="4"/>
      <c r="I350" s="5"/>
      <c r="J350" s="6"/>
      <c r="K350" s="3"/>
      <c r="L350" s="6"/>
      <c r="M350" s="6" t="str">
        <f>IF(OR(K350="",K350="Pending"),"",L350-J350)</f>
        <v> </v>
      </c>
      <c r="N350" s="6" t="str">
        <f>IF(M350="","",'Summary'!$B$4+SUM($M$2:M350))</f>
        <v> </v>
      </c>
    </row>
    <row r="351" spans="1:14">
      <c r="A351" s="2"/>
      <c r="B351" s="3"/>
      <c r="C351" s="3"/>
      <c r="D351" s="3"/>
      <c r="E351" s="3"/>
      <c r="F351" s="3"/>
      <c r="G351" s="3"/>
      <c r="H351" s="4"/>
      <c r="I351" s="5"/>
      <c r="J351" s="6"/>
      <c r="K351" s="3"/>
      <c r="L351" s="6"/>
      <c r="M351" s="6" t="str">
        <f>IF(OR(K351="",K351="Pending"),"",L351-J351)</f>
        <v> </v>
      </c>
      <c r="N351" s="6" t="str">
        <f>IF(M351="","",'Summary'!$B$4+SUM($M$2:M351))</f>
        <v> </v>
      </c>
    </row>
    <row r="352" spans="1:14">
      <c r="A352" s="2"/>
      <c r="B352" s="3"/>
      <c r="C352" s="3"/>
      <c r="D352" s="3"/>
      <c r="E352" s="3"/>
      <c r="F352" s="3"/>
      <c r="G352" s="3"/>
      <c r="H352" s="4"/>
      <c r="I352" s="5"/>
      <c r="J352" s="6"/>
      <c r="K352" s="3"/>
      <c r="L352" s="6"/>
      <c r="M352" s="6" t="str">
        <f>IF(OR(K352="",K352="Pending"),"",L352-J352)</f>
        <v> </v>
      </c>
      <c r="N352" s="6" t="str">
        <f>IF(M352="","",'Summary'!$B$4+SUM($M$2:M352))</f>
        <v> </v>
      </c>
    </row>
    <row r="353" spans="1:14">
      <c r="A353" s="2"/>
      <c r="B353" s="3"/>
      <c r="C353" s="3"/>
      <c r="D353" s="3"/>
      <c r="E353" s="3"/>
      <c r="F353" s="3"/>
      <c r="G353" s="3"/>
      <c r="H353" s="4"/>
      <c r="I353" s="5"/>
      <c r="J353" s="6"/>
      <c r="K353" s="3"/>
      <c r="L353" s="6"/>
      <c r="M353" s="6" t="str">
        <f>IF(OR(K353="",K353="Pending"),"",L353-J353)</f>
        <v> </v>
      </c>
      <c r="N353" s="6" t="str">
        <f>IF(M353="","",'Summary'!$B$4+SUM($M$2:M353))</f>
        <v> </v>
      </c>
    </row>
    <row r="354" spans="1:14">
      <c r="A354" s="2"/>
      <c r="B354" s="3"/>
      <c r="C354" s="3"/>
      <c r="D354" s="3"/>
      <c r="E354" s="3"/>
      <c r="F354" s="3"/>
      <c r="G354" s="3"/>
      <c r="H354" s="4"/>
      <c r="I354" s="5"/>
      <c r="J354" s="6"/>
      <c r="K354" s="3"/>
      <c r="L354" s="6"/>
      <c r="M354" s="6" t="str">
        <f>IF(OR(K354="",K354="Pending"),"",L354-J354)</f>
        <v> </v>
      </c>
      <c r="N354" s="6" t="str">
        <f>IF(M354="","",'Summary'!$B$4+SUM($M$2:M354))</f>
        <v> </v>
      </c>
    </row>
    <row r="355" spans="1:14">
      <c r="A355" s="2"/>
      <c r="B355" s="3"/>
      <c r="C355" s="3"/>
      <c r="D355" s="3"/>
      <c r="E355" s="3"/>
      <c r="F355" s="3"/>
      <c r="G355" s="3"/>
      <c r="H355" s="4"/>
      <c r="I355" s="5"/>
      <c r="J355" s="6"/>
      <c r="K355" s="3"/>
      <c r="L355" s="6"/>
      <c r="M355" s="6" t="str">
        <f>IF(OR(K355="",K355="Pending"),"",L355-J355)</f>
        <v> </v>
      </c>
      <c r="N355" s="6" t="str">
        <f>IF(M355="","",'Summary'!$B$4+SUM($M$2:M355))</f>
        <v> </v>
      </c>
    </row>
    <row r="356" spans="1:14">
      <c r="A356" s="2"/>
      <c r="B356" s="3"/>
      <c r="C356" s="3"/>
      <c r="D356" s="3"/>
      <c r="E356" s="3"/>
      <c r="F356" s="3"/>
      <c r="G356" s="3"/>
      <c r="H356" s="4"/>
      <c r="I356" s="5"/>
      <c r="J356" s="6"/>
      <c r="K356" s="3"/>
      <c r="L356" s="6"/>
      <c r="M356" s="6" t="str">
        <f>IF(OR(K356="",K356="Pending"),"",L356-J356)</f>
        <v> </v>
      </c>
      <c r="N356" s="6" t="str">
        <f>IF(M356="","",'Summary'!$B$4+SUM($M$2:M356))</f>
        <v> </v>
      </c>
    </row>
    <row r="357" spans="1:14">
      <c r="A357" s="2"/>
      <c r="B357" s="3"/>
      <c r="C357" s="3"/>
      <c r="D357" s="3"/>
      <c r="E357" s="3"/>
      <c r="F357" s="3"/>
      <c r="G357" s="3"/>
      <c r="H357" s="4"/>
      <c r="I357" s="5"/>
      <c r="J357" s="6"/>
      <c r="K357" s="3"/>
      <c r="L357" s="6"/>
      <c r="M357" s="6" t="str">
        <f>IF(OR(K357="",K357="Pending"),"",L357-J357)</f>
        <v> </v>
      </c>
      <c r="N357" s="6" t="str">
        <f>IF(M357="","",'Summary'!$B$4+SUM($M$2:M357))</f>
        <v> </v>
      </c>
    </row>
    <row r="358" spans="1:14">
      <c r="A358" s="2"/>
      <c r="B358" s="3"/>
      <c r="C358" s="3"/>
      <c r="D358" s="3"/>
      <c r="E358" s="3"/>
      <c r="F358" s="3"/>
      <c r="G358" s="3"/>
      <c r="H358" s="4"/>
      <c r="I358" s="5"/>
      <c r="J358" s="6"/>
      <c r="K358" s="3"/>
      <c r="L358" s="6"/>
      <c r="M358" s="6" t="str">
        <f>IF(OR(K358="",K358="Pending"),"",L358-J358)</f>
        <v> </v>
      </c>
      <c r="N358" s="6" t="str">
        <f>IF(M358="","",'Summary'!$B$4+SUM($M$2:M358))</f>
        <v> </v>
      </c>
    </row>
    <row r="359" spans="1:14">
      <c r="A359" s="2"/>
      <c r="B359" s="3"/>
      <c r="C359" s="3"/>
      <c r="D359" s="3"/>
      <c r="E359" s="3"/>
      <c r="F359" s="3"/>
      <c r="G359" s="3"/>
      <c r="H359" s="4"/>
      <c r="I359" s="5"/>
      <c r="J359" s="6"/>
      <c r="K359" s="3"/>
      <c r="L359" s="6"/>
      <c r="M359" s="6" t="str">
        <f>IF(OR(K359="",K359="Pending"),"",L359-J359)</f>
        <v> </v>
      </c>
      <c r="N359" s="6" t="str">
        <f>IF(M359="","",'Summary'!$B$4+SUM($M$2:M359))</f>
        <v> </v>
      </c>
    </row>
    <row r="360" spans="1:14">
      <c r="A360" s="2"/>
      <c r="B360" s="3"/>
      <c r="C360" s="3"/>
      <c r="D360" s="3"/>
      <c r="E360" s="3"/>
      <c r="F360" s="3"/>
      <c r="G360" s="3"/>
      <c r="H360" s="4"/>
      <c r="I360" s="5"/>
      <c r="J360" s="6"/>
      <c r="K360" s="3"/>
      <c r="L360" s="6"/>
      <c r="M360" s="6" t="str">
        <f>IF(OR(K360="",K360="Pending"),"",L360-J360)</f>
        <v> </v>
      </c>
      <c r="N360" s="6" t="str">
        <f>IF(M360="","",'Summary'!$B$4+SUM($M$2:M360))</f>
        <v> </v>
      </c>
    </row>
    <row r="361" spans="1:14">
      <c r="A361" s="2"/>
      <c r="B361" s="3"/>
      <c r="C361" s="3"/>
      <c r="D361" s="3"/>
      <c r="E361" s="3"/>
      <c r="F361" s="3"/>
      <c r="G361" s="3"/>
      <c r="H361" s="4"/>
      <c r="I361" s="5"/>
      <c r="J361" s="6"/>
      <c r="K361" s="3"/>
      <c r="L361" s="6"/>
      <c r="M361" s="6" t="str">
        <f>IF(OR(K361="",K361="Pending"),"",L361-J361)</f>
        <v> </v>
      </c>
      <c r="N361" s="6" t="str">
        <f>IF(M361="","",'Summary'!$B$4+SUM($M$2:M361))</f>
        <v> </v>
      </c>
    </row>
    <row r="362" spans="1:14">
      <c r="A362" s="2"/>
      <c r="B362" s="3"/>
      <c r="C362" s="3"/>
      <c r="D362" s="3"/>
      <c r="E362" s="3"/>
      <c r="F362" s="3"/>
      <c r="G362" s="3"/>
      <c r="H362" s="4"/>
      <c r="I362" s="5"/>
      <c r="J362" s="6"/>
      <c r="K362" s="3"/>
      <c r="L362" s="6"/>
      <c r="M362" s="6" t="str">
        <f>IF(OR(K362="",K362="Pending"),"",L362-J362)</f>
        <v> </v>
      </c>
      <c r="N362" s="6" t="str">
        <f>IF(M362="","",'Summary'!$B$4+SUM($M$2:M362))</f>
        <v> </v>
      </c>
    </row>
    <row r="363" spans="1:14">
      <c r="A363" s="2"/>
      <c r="B363" s="3"/>
      <c r="C363" s="3"/>
      <c r="D363" s="3"/>
      <c r="E363" s="3"/>
      <c r="F363" s="3"/>
      <c r="G363" s="3"/>
      <c r="H363" s="4"/>
      <c r="I363" s="5"/>
      <c r="J363" s="6"/>
      <c r="K363" s="3"/>
      <c r="L363" s="6"/>
      <c r="M363" s="6" t="str">
        <f>IF(OR(K363="",K363="Pending"),"",L363-J363)</f>
        <v> </v>
      </c>
      <c r="N363" s="6" t="str">
        <f>IF(M363="","",'Summary'!$B$4+SUM($M$2:M363))</f>
        <v> </v>
      </c>
    </row>
    <row r="364" spans="1:14">
      <c r="A364" s="2"/>
      <c r="B364" s="3"/>
      <c r="C364" s="3"/>
      <c r="D364" s="3"/>
      <c r="E364" s="3"/>
      <c r="F364" s="3"/>
      <c r="G364" s="3"/>
      <c r="H364" s="4"/>
      <c r="I364" s="5"/>
      <c r="J364" s="6"/>
      <c r="K364" s="3"/>
      <c r="L364" s="6"/>
      <c r="M364" s="6" t="str">
        <f>IF(OR(K364="",K364="Pending"),"",L364-J364)</f>
        <v> </v>
      </c>
      <c r="N364" s="6" t="str">
        <f>IF(M364="","",'Summary'!$B$4+SUM($M$2:M364))</f>
        <v> </v>
      </c>
    </row>
    <row r="365" spans="1:14">
      <c r="A365" s="2"/>
      <c r="B365" s="3"/>
      <c r="C365" s="3"/>
      <c r="D365" s="3"/>
      <c r="E365" s="3"/>
      <c r="F365" s="3"/>
      <c r="G365" s="3"/>
      <c r="H365" s="4"/>
      <c r="I365" s="5"/>
      <c r="J365" s="6"/>
      <c r="K365" s="3"/>
      <c r="L365" s="6"/>
      <c r="M365" s="6" t="str">
        <f>IF(OR(K365="",K365="Pending"),"",L365-J365)</f>
        <v> </v>
      </c>
      <c r="N365" s="6" t="str">
        <f>IF(M365="","",'Summary'!$B$4+SUM($M$2:M365))</f>
        <v> </v>
      </c>
    </row>
    <row r="366" spans="1:14">
      <c r="A366" s="2"/>
      <c r="B366" s="3"/>
      <c r="C366" s="3"/>
      <c r="D366" s="3"/>
      <c r="E366" s="3"/>
      <c r="F366" s="3"/>
      <c r="G366" s="3"/>
      <c r="H366" s="4"/>
      <c r="I366" s="5"/>
      <c r="J366" s="6"/>
      <c r="K366" s="3"/>
      <c r="L366" s="6"/>
      <c r="M366" s="6" t="str">
        <f>IF(OR(K366="",K366="Pending"),"",L366-J366)</f>
        <v> </v>
      </c>
      <c r="N366" s="6" t="str">
        <f>IF(M366="","",'Summary'!$B$4+SUM($M$2:M366))</f>
        <v> </v>
      </c>
    </row>
    <row r="367" spans="1:14">
      <c r="A367" s="2"/>
      <c r="B367" s="3"/>
      <c r="C367" s="3"/>
      <c r="D367" s="3"/>
      <c r="E367" s="3"/>
      <c r="F367" s="3"/>
      <c r="G367" s="3"/>
      <c r="H367" s="4"/>
      <c r="I367" s="5"/>
      <c r="J367" s="6"/>
      <c r="K367" s="3"/>
      <c r="L367" s="6"/>
      <c r="M367" s="6" t="str">
        <f>IF(OR(K367="",K367="Pending"),"",L367-J367)</f>
        <v> </v>
      </c>
      <c r="N367" s="6" t="str">
        <f>IF(M367="","",'Summary'!$B$4+SUM($M$2:M367))</f>
        <v> </v>
      </c>
    </row>
    <row r="368" spans="1:14">
      <c r="A368" s="2"/>
      <c r="B368" s="3"/>
      <c r="C368" s="3"/>
      <c r="D368" s="3"/>
      <c r="E368" s="3"/>
      <c r="F368" s="3"/>
      <c r="G368" s="3"/>
      <c r="H368" s="4"/>
      <c r="I368" s="5"/>
      <c r="J368" s="6"/>
      <c r="K368" s="3"/>
      <c r="L368" s="6"/>
      <c r="M368" s="6" t="str">
        <f>IF(OR(K368="",K368="Pending"),"",L368-J368)</f>
        <v> </v>
      </c>
      <c r="N368" s="6" t="str">
        <f>IF(M368="","",'Summary'!$B$4+SUM($M$2:M368))</f>
        <v> </v>
      </c>
    </row>
    <row r="369" spans="1:14">
      <c r="A369" s="2"/>
      <c r="B369" s="3"/>
      <c r="C369" s="3"/>
      <c r="D369" s="3"/>
      <c r="E369" s="3"/>
      <c r="F369" s="3"/>
      <c r="G369" s="3"/>
      <c r="H369" s="4"/>
      <c r="I369" s="5"/>
      <c r="J369" s="6"/>
      <c r="K369" s="3"/>
      <c r="L369" s="6"/>
      <c r="M369" s="6" t="str">
        <f>IF(OR(K369="",K369="Pending"),"",L369-J369)</f>
        <v> </v>
      </c>
      <c r="N369" s="6" t="str">
        <f>IF(M369="","",'Summary'!$B$4+SUM($M$2:M369))</f>
        <v> </v>
      </c>
    </row>
    <row r="370" spans="1:14">
      <c r="A370" s="2"/>
      <c r="B370" s="3"/>
      <c r="C370" s="3"/>
      <c r="D370" s="3"/>
      <c r="E370" s="3"/>
      <c r="F370" s="3"/>
      <c r="G370" s="3"/>
      <c r="H370" s="4"/>
      <c r="I370" s="5"/>
      <c r="J370" s="6"/>
      <c r="K370" s="3"/>
      <c r="L370" s="6"/>
      <c r="M370" s="6" t="str">
        <f>IF(OR(K370="",K370="Pending"),"",L370-J370)</f>
        <v> </v>
      </c>
      <c r="N370" s="6" t="str">
        <f>IF(M370="","",'Summary'!$B$4+SUM($M$2:M370))</f>
        <v> </v>
      </c>
    </row>
    <row r="371" spans="1:14">
      <c r="A371" s="2"/>
      <c r="B371" s="3"/>
      <c r="C371" s="3"/>
      <c r="D371" s="3"/>
      <c r="E371" s="3"/>
      <c r="F371" s="3"/>
      <c r="G371" s="3"/>
      <c r="H371" s="4"/>
      <c r="I371" s="5"/>
      <c r="J371" s="6"/>
      <c r="K371" s="3"/>
      <c r="L371" s="6"/>
      <c r="M371" s="6" t="str">
        <f>IF(OR(K371="",K371="Pending"),"",L371-J371)</f>
        <v> </v>
      </c>
      <c r="N371" s="6" t="str">
        <f>IF(M371="","",'Summary'!$B$4+SUM($M$2:M371))</f>
        <v> </v>
      </c>
    </row>
    <row r="372" spans="1:14">
      <c r="A372" s="2"/>
      <c r="B372" s="3"/>
      <c r="C372" s="3"/>
      <c r="D372" s="3"/>
      <c r="E372" s="3"/>
      <c r="F372" s="3"/>
      <c r="G372" s="3"/>
      <c r="H372" s="4"/>
      <c r="I372" s="5"/>
      <c r="J372" s="6"/>
      <c r="K372" s="3"/>
      <c r="L372" s="6"/>
      <c r="M372" s="6" t="str">
        <f>IF(OR(K372="",K372="Pending"),"",L372-J372)</f>
        <v> </v>
      </c>
      <c r="N372" s="6" t="str">
        <f>IF(M372="","",'Summary'!$B$4+SUM($M$2:M372))</f>
        <v> </v>
      </c>
    </row>
    <row r="373" spans="1:14">
      <c r="A373" s="2"/>
      <c r="B373" s="3"/>
      <c r="C373" s="3"/>
      <c r="D373" s="3"/>
      <c r="E373" s="3"/>
      <c r="F373" s="3"/>
      <c r="G373" s="3"/>
      <c r="H373" s="4"/>
      <c r="I373" s="5"/>
      <c r="J373" s="6"/>
      <c r="K373" s="3"/>
      <c r="L373" s="6"/>
      <c r="M373" s="6" t="str">
        <f>IF(OR(K373="",K373="Pending"),"",L373-J373)</f>
        <v> </v>
      </c>
      <c r="N373" s="6" t="str">
        <f>IF(M373="","",'Summary'!$B$4+SUM($M$2:M373))</f>
        <v> </v>
      </c>
    </row>
    <row r="374" spans="1:14">
      <c r="A374" s="2"/>
      <c r="B374" s="3"/>
      <c r="C374" s="3"/>
      <c r="D374" s="3"/>
      <c r="E374" s="3"/>
      <c r="F374" s="3"/>
      <c r="G374" s="3"/>
      <c r="H374" s="4"/>
      <c r="I374" s="5"/>
      <c r="J374" s="6"/>
      <c r="K374" s="3"/>
      <c r="L374" s="6"/>
      <c r="M374" s="6" t="str">
        <f>IF(OR(K374="",K374="Pending"),"",L374-J374)</f>
        <v> </v>
      </c>
      <c r="N374" s="6" t="str">
        <f>IF(M374="","",'Summary'!$B$4+SUM($M$2:M374))</f>
        <v> </v>
      </c>
    </row>
    <row r="375" spans="1:14">
      <c r="A375" s="2"/>
      <c r="B375" s="3"/>
      <c r="C375" s="3"/>
      <c r="D375" s="3"/>
      <c r="E375" s="3"/>
      <c r="F375" s="3"/>
      <c r="G375" s="3"/>
      <c r="H375" s="4"/>
      <c r="I375" s="5"/>
      <c r="J375" s="6"/>
      <c r="K375" s="3"/>
      <c r="L375" s="6"/>
      <c r="M375" s="6" t="str">
        <f>IF(OR(K375="",K375="Pending"),"",L375-J375)</f>
        <v> </v>
      </c>
      <c r="N375" s="6" t="str">
        <f>IF(M375="","",'Summary'!$B$4+SUM($M$2:M375))</f>
        <v> </v>
      </c>
    </row>
    <row r="376" spans="1:14">
      <c r="A376" s="2"/>
      <c r="B376" s="3"/>
      <c r="C376" s="3"/>
      <c r="D376" s="3"/>
      <c r="E376" s="3"/>
      <c r="F376" s="3"/>
      <c r="G376" s="3"/>
      <c r="H376" s="4"/>
      <c r="I376" s="5"/>
      <c r="J376" s="6"/>
      <c r="K376" s="3"/>
      <c r="L376" s="6"/>
      <c r="M376" s="6" t="str">
        <f>IF(OR(K376="",K376="Pending"),"",L376-J376)</f>
        <v> </v>
      </c>
      <c r="N376" s="6" t="str">
        <f>IF(M376="","",'Summary'!$B$4+SUM($M$2:M376))</f>
        <v> </v>
      </c>
    </row>
    <row r="377" spans="1:14">
      <c r="A377" s="2"/>
      <c r="B377" s="3"/>
      <c r="C377" s="3"/>
      <c r="D377" s="3"/>
      <c r="E377" s="3"/>
      <c r="F377" s="3"/>
      <c r="G377" s="3"/>
      <c r="H377" s="4"/>
      <c r="I377" s="5"/>
      <c r="J377" s="6"/>
      <c r="K377" s="3"/>
      <c r="L377" s="6"/>
      <c r="M377" s="6" t="str">
        <f>IF(OR(K377="",K377="Pending"),"",L377-J377)</f>
        <v> </v>
      </c>
      <c r="N377" s="6" t="str">
        <f>IF(M377="","",'Summary'!$B$4+SUM($M$2:M377))</f>
        <v> </v>
      </c>
    </row>
    <row r="378" spans="1:14">
      <c r="A378" s="2"/>
      <c r="B378" s="3"/>
      <c r="C378" s="3"/>
      <c r="D378" s="3"/>
      <c r="E378" s="3"/>
      <c r="F378" s="3"/>
      <c r="G378" s="3"/>
      <c r="H378" s="4"/>
      <c r="I378" s="5"/>
      <c r="J378" s="6"/>
      <c r="K378" s="3"/>
      <c r="L378" s="6"/>
      <c r="M378" s="6" t="str">
        <f>IF(OR(K378="",K378="Pending"),"",L378-J378)</f>
        <v> </v>
      </c>
      <c r="N378" s="6" t="str">
        <f>IF(M378="","",'Summary'!$B$4+SUM($M$2:M378))</f>
        <v> </v>
      </c>
    </row>
    <row r="379" spans="1:14">
      <c r="A379" s="2"/>
      <c r="B379" s="3"/>
      <c r="C379" s="3"/>
      <c r="D379" s="3"/>
      <c r="E379" s="3"/>
      <c r="F379" s="3"/>
      <c r="G379" s="3"/>
      <c r="H379" s="4"/>
      <c r="I379" s="5"/>
      <c r="J379" s="6"/>
      <c r="K379" s="3"/>
      <c r="L379" s="6"/>
      <c r="M379" s="6" t="str">
        <f>IF(OR(K379="",K379="Pending"),"",L379-J379)</f>
        <v> </v>
      </c>
      <c r="N379" s="6" t="str">
        <f>IF(M379="","",'Summary'!$B$4+SUM($M$2:M379))</f>
        <v> </v>
      </c>
    </row>
    <row r="380" spans="1:14">
      <c r="A380" s="2"/>
      <c r="B380" s="3"/>
      <c r="C380" s="3"/>
      <c r="D380" s="3"/>
      <c r="E380" s="3"/>
      <c r="F380" s="3"/>
      <c r="G380" s="3"/>
      <c r="H380" s="4"/>
      <c r="I380" s="5"/>
      <c r="J380" s="6"/>
      <c r="K380" s="3"/>
      <c r="L380" s="6"/>
      <c r="M380" s="6" t="str">
        <f>IF(OR(K380="",K380="Pending"),"",L380-J380)</f>
        <v> </v>
      </c>
      <c r="N380" s="6" t="str">
        <f>IF(M380="","",'Summary'!$B$4+SUM($M$2:M380))</f>
        <v> </v>
      </c>
    </row>
    <row r="381" spans="1:14">
      <c r="A381" s="2"/>
      <c r="B381" s="3"/>
      <c r="C381" s="3"/>
      <c r="D381" s="3"/>
      <c r="E381" s="3"/>
      <c r="F381" s="3"/>
      <c r="G381" s="3"/>
      <c r="H381" s="4"/>
      <c r="I381" s="5"/>
      <c r="J381" s="6"/>
      <c r="K381" s="3"/>
      <c r="L381" s="6"/>
      <c r="M381" s="6" t="str">
        <f>IF(OR(K381="",K381="Pending"),"",L381-J381)</f>
        <v> </v>
      </c>
      <c r="N381" s="6" t="str">
        <f>IF(M381="","",'Summary'!$B$4+SUM($M$2:M381))</f>
        <v> </v>
      </c>
    </row>
    <row r="382" spans="1:14">
      <c r="A382" s="2"/>
      <c r="B382" s="3"/>
      <c r="C382" s="3"/>
      <c r="D382" s="3"/>
      <c r="E382" s="3"/>
      <c r="F382" s="3"/>
      <c r="G382" s="3"/>
      <c r="H382" s="4"/>
      <c r="I382" s="5"/>
      <c r="J382" s="6"/>
      <c r="K382" s="3"/>
      <c r="L382" s="6"/>
      <c r="M382" s="6" t="str">
        <f>IF(OR(K382="",K382="Pending"),"",L382-J382)</f>
        <v> </v>
      </c>
      <c r="N382" s="6" t="str">
        <f>IF(M382="","",'Summary'!$B$4+SUM($M$2:M382))</f>
        <v> </v>
      </c>
    </row>
    <row r="383" spans="1:14">
      <c r="A383" s="2"/>
      <c r="B383" s="3"/>
      <c r="C383" s="3"/>
      <c r="D383" s="3"/>
      <c r="E383" s="3"/>
      <c r="F383" s="3"/>
      <c r="G383" s="3"/>
      <c r="H383" s="4"/>
      <c r="I383" s="5"/>
      <c r="J383" s="6"/>
      <c r="K383" s="3"/>
      <c r="L383" s="6"/>
      <c r="M383" s="6" t="str">
        <f>IF(OR(K383="",K383="Pending"),"",L383-J383)</f>
        <v> </v>
      </c>
      <c r="N383" s="6" t="str">
        <f>IF(M383="","",'Summary'!$B$4+SUM($M$2:M383))</f>
        <v> </v>
      </c>
    </row>
    <row r="384" spans="1:14">
      <c r="A384" s="2"/>
      <c r="B384" s="3"/>
      <c r="C384" s="3"/>
      <c r="D384" s="3"/>
      <c r="E384" s="3"/>
      <c r="F384" s="3"/>
      <c r="G384" s="3"/>
      <c r="H384" s="4"/>
      <c r="I384" s="5"/>
      <c r="J384" s="6"/>
      <c r="K384" s="3"/>
      <c r="L384" s="6"/>
      <c r="M384" s="6" t="str">
        <f>IF(OR(K384="",K384="Pending"),"",L384-J384)</f>
        <v> </v>
      </c>
      <c r="N384" s="6" t="str">
        <f>IF(M384="","",'Summary'!$B$4+SUM($M$2:M384))</f>
        <v> </v>
      </c>
    </row>
    <row r="385" spans="1:14">
      <c r="A385" s="2"/>
      <c r="B385" s="3"/>
      <c r="C385" s="3"/>
      <c r="D385" s="3"/>
      <c r="E385" s="3"/>
      <c r="F385" s="3"/>
      <c r="G385" s="3"/>
      <c r="H385" s="4"/>
      <c r="I385" s="5"/>
      <c r="J385" s="6"/>
      <c r="K385" s="3"/>
      <c r="L385" s="6"/>
      <c r="M385" s="6" t="str">
        <f>IF(OR(K385="",K385="Pending"),"",L385-J385)</f>
        <v> </v>
      </c>
      <c r="N385" s="6" t="str">
        <f>IF(M385="","",'Summary'!$B$4+SUM($M$2:M385))</f>
        <v> </v>
      </c>
    </row>
    <row r="386" spans="1:14">
      <c r="A386" s="2"/>
      <c r="B386" s="3"/>
      <c r="C386" s="3"/>
      <c r="D386" s="3"/>
      <c r="E386" s="3"/>
      <c r="F386" s="3"/>
      <c r="G386" s="3"/>
      <c r="H386" s="4"/>
      <c r="I386" s="5"/>
      <c r="J386" s="6"/>
      <c r="K386" s="3"/>
      <c r="L386" s="6"/>
      <c r="M386" s="6" t="str">
        <f>IF(OR(K386="",K386="Pending"),"",L386-J386)</f>
        <v> </v>
      </c>
      <c r="N386" s="6" t="str">
        <f>IF(M386="","",'Summary'!$B$4+SUM($M$2:M386))</f>
        <v> </v>
      </c>
    </row>
    <row r="387" spans="1:14">
      <c r="A387" s="2"/>
      <c r="B387" s="3"/>
      <c r="C387" s="3"/>
      <c r="D387" s="3"/>
      <c r="E387" s="3"/>
      <c r="F387" s="3"/>
      <c r="G387" s="3"/>
      <c r="H387" s="4"/>
      <c r="I387" s="5"/>
      <c r="J387" s="6"/>
      <c r="K387" s="3"/>
      <c r="L387" s="6"/>
      <c r="M387" s="6" t="str">
        <f>IF(OR(K387="",K387="Pending"),"",L387-J387)</f>
        <v> </v>
      </c>
      <c r="N387" s="6" t="str">
        <f>IF(M387="","",'Summary'!$B$4+SUM($M$2:M387))</f>
        <v> </v>
      </c>
    </row>
    <row r="388" spans="1:14">
      <c r="A388" s="2"/>
      <c r="B388" s="3"/>
      <c r="C388" s="3"/>
      <c r="D388" s="3"/>
      <c r="E388" s="3"/>
      <c r="F388" s="3"/>
      <c r="G388" s="3"/>
      <c r="H388" s="4"/>
      <c r="I388" s="5"/>
      <c r="J388" s="6"/>
      <c r="K388" s="3"/>
      <c r="L388" s="6"/>
      <c r="M388" s="6" t="str">
        <f>IF(OR(K388="",K388="Pending"),"",L388-J388)</f>
        <v> </v>
      </c>
      <c r="N388" s="6" t="str">
        <f>IF(M388="","",'Summary'!$B$4+SUM($M$2:M388))</f>
        <v> </v>
      </c>
    </row>
    <row r="389" spans="1:14">
      <c r="A389" s="2"/>
      <c r="B389" s="3"/>
      <c r="C389" s="3"/>
      <c r="D389" s="3"/>
      <c r="E389" s="3"/>
      <c r="F389" s="3"/>
      <c r="G389" s="3"/>
      <c r="H389" s="4"/>
      <c r="I389" s="5"/>
      <c r="J389" s="6"/>
      <c r="K389" s="3"/>
      <c r="L389" s="6"/>
      <c r="M389" s="6" t="str">
        <f>IF(OR(K389="",K389="Pending"),"",L389-J389)</f>
        <v> </v>
      </c>
      <c r="N389" s="6" t="str">
        <f>IF(M389="","",'Summary'!$B$4+SUM($M$2:M389))</f>
        <v> </v>
      </c>
    </row>
    <row r="390" spans="1:14">
      <c r="A390" s="2"/>
      <c r="B390" s="3"/>
      <c r="C390" s="3"/>
      <c r="D390" s="3"/>
      <c r="E390" s="3"/>
      <c r="F390" s="3"/>
      <c r="G390" s="3"/>
      <c r="H390" s="4"/>
      <c r="I390" s="5"/>
      <c r="J390" s="6"/>
      <c r="K390" s="3"/>
      <c r="L390" s="6"/>
      <c r="M390" s="6" t="str">
        <f>IF(OR(K390="",K390="Pending"),"",L390-J390)</f>
        <v> </v>
      </c>
      <c r="N390" s="6" t="str">
        <f>IF(M390="","",'Summary'!$B$4+SUM($M$2:M390))</f>
        <v> </v>
      </c>
    </row>
    <row r="391" spans="1:14">
      <c r="A391" s="2"/>
      <c r="B391" s="3"/>
      <c r="C391" s="3"/>
      <c r="D391" s="3"/>
      <c r="E391" s="3"/>
      <c r="F391" s="3"/>
      <c r="G391" s="3"/>
      <c r="H391" s="4"/>
      <c r="I391" s="5"/>
      <c r="J391" s="6"/>
      <c r="K391" s="3"/>
      <c r="L391" s="6"/>
      <c r="M391" s="6" t="str">
        <f>IF(OR(K391="",K391="Pending"),"",L391-J391)</f>
        <v> </v>
      </c>
      <c r="N391" s="6" t="str">
        <f>IF(M391="","",'Summary'!$B$4+SUM($M$2:M391))</f>
        <v> </v>
      </c>
    </row>
    <row r="392" spans="1:14">
      <c r="A392" s="2"/>
      <c r="B392" s="3"/>
      <c r="C392" s="3"/>
      <c r="D392" s="3"/>
      <c r="E392" s="3"/>
      <c r="F392" s="3"/>
      <c r="G392" s="3"/>
      <c r="H392" s="4"/>
      <c r="I392" s="5"/>
      <c r="J392" s="6"/>
      <c r="K392" s="3"/>
      <c r="L392" s="6"/>
      <c r="M392" s="6" t="str">
        <f>IF(OR(K392="",K392="Pending"),"",L392-J392)</f>
        <v> </v>
      </c>
      <c r="N392" s="6" t="str">
        <f>IF(M392="","",'Summary'!$B$4+SUM($M$2:M392))</f>
        <v> </v>
      </c>
    </row>
    <row r="393" spans="1:14">
      <c r="A393" s="2"/>
      <c r="B393" s="3"/>
      <c r="C393" s="3"/>
      <c r="D393" s="3"/>
      <c r="E393" s="3"/>
      <c r="F393" s="3"/>
      <c r="G393" s="3"/>
      <c r="H393" s="4"/>
      <c r="I393" s="5"/>
      <c r="J393" s="6"/>
      <c r="K393" s="3"/>
      <c r="L393" s="6"/>
      <c r="M393" s="6" t="str">
        <f>IF(OR(K393="",K393="Pending"),"",L393-J393)</f>
        <v> </v>
      </c>
      <c r="N393" s="6" t="str">
        <f>IF(M393="","",'Summary'!$B$4+SUM($M$2:M393))</f>
        <v> </v>
      </c>
    </row>
    <row r="394" spans="1:14">
      <c r="A394" s="2"/>
      <c r="B394" s="3"/>
      <c r="C394" s="3"/>
      <c r="D394" s="3"/>
      <c r="E394" s="3"/>
      <c r="F394" s="3"/>
      <c r="G394" s="3"/>
      <c r="H394" s="4"/>
      <c r="I394" s="5"/>
      <c r="J394" s="6"/>
      <c r="K394" s="3"/>
      <c r="L394" s="6"/>
      <c r="M394" s="6" t="str">
        <f>IF(OR(K394="",K394="Pending"),"",L394-J394)</f>
        <v> </v>
      </c>
      <c r="N394" s="6" t="str">
        <f>IF(M394="","",'Summary'!$B$4+SUM($M$2:M394))</f>
        <v> </v>
      </c>
    </row>
    <row r="395" spans="1:14">
      <c r="A395" s="2"/>
      <c r="B395" s="3"/>
      <c r="C395" s="3"/>
      <c r="D395" s="3"/>
      <c r="E395" s="3"/>
      <c r="F395" s="3"/>
      <c r="G395" s="3"/>
      <c r="H395" s="4"/>
      <c r="I395" s="5"/>
      <c r="J395" s="6"/>
      <c r="K395" s="3"/>
      <c r="L395" s="6"/>
      <c r="M395" s="6" t="str">
        <f>IF(OR(K395="",K395="Pending"),"",L395-J395)</f>
        <v> </v>
      </c>
      <c r="N395" s="6" t="str">
        <f>IF(M395="","",'Summary'!$B$4+SUM($M$2:M395))</f>
        <v> </v>
      </c>
    </row>
    <row r="396" spans="1:14">
      <c r="A396" s="2"/>
      <c r="B396" s="3"/>
      <c r="C396" s="3"/>
      <c r="D396" s="3"/>
      <c r="E396" s="3"/>
      <c r="F396" s="3"/>
      <c r="G396" s="3"/>
      <c r="H396" s="4"/>
      <c r="I396" s="5"/>
      <c r="J396" s="6"/>
      <c r="K396" s="3"/>
      <c r="L396" s="6"/>
      <c r="M396" s="6" t="str">
        <f>IF(OR(K396="",K396="Pending"),"",L396-J396)</f>
        <v> </v>
      </c>
      <c r="N396" s="6" t="str">
        <f>IF(M396="","",'Summary'!$B$4+SUM($M$2:M396))</f>
        <v> </v>
      </c>
    </row>
    <row r="397" spans="1:14">
      <c r="A397" s="2"/>
      <c r="B397" s="3"/>
      <c r="C397" s="3"/>
      <c r="D397" s="3"/>
      <c r="E397" s="3"/>
      <c r="F397" s="3"/>
      <c r="G397" s="3"/>
      <c r="H397" s="4"/>
      <c r="I397" s="5"/>
      <c r="J397" s="6"/>
      <c r="K397" s="3"/>
      <c r="L397" s="6"/>
      <c r="M397" s="6" t="str">
        <f>IF(OR(K397="",K397="Pending"),"",L397-J397)</f>
        <v> </v>
      </c>
      <c r="N397" s="6" t="str">
        <f>IF(M397="","",'Summary'!$B$4+SUM($M$2:M397))</f>
        <v> </v>
      </c>
    </row>
    <row r="398" spans="1:14">
      <c r="A398" s="2"/>
      <c r="B398" s="3"/>
      <c r="C398" s="3"/>
      <c r="D398" s="3"/>
      <c r="E398" s="3"/>
      <c r="F398" s="3"/>
      <c r="G398" s="3"/>
      <c r="H398" s="4"/>
      <c r="I398" s="5"/>
      <c r="J398" s="6"/>
      <c r="K398" s="3"/>
      <c r="L398" s="6"/>
      <c r="M398" s="6" t="str">
        <f>IF(OR(K398="",K398="Pending"),"",L398-J398)</f>
        <v> </v>
      </c>
      <c r="N398" s="6" t="str">
        <f>IF(M398="","",'Summary'!$B$4+SUM($M$2:M398))</f>
        <v> </v>
      </c>
    </row>
    <row r="399" spans="1:14">
      <c r="A399" s="2"/>
      <c r="B399" s="3"/>
      <c r="C399" s="3"/>
      <c r="D399" s="3"/>
      <c r="E399" s="3"/>
      <c r="F399" s="3"/>
      <c r="G399" s="3"/>
      <c r="H399" s="4"/>
      <c r="I399" s="5"/>
      <c r="J399" s="6"/>
      <c r="K399" s="3"/>
      <c r="L399" s="6"/>
      <c r="M399" s="6" t="str">
        <f>IF(OR(K399="",K399="Pending"),"",L399-J399)</f>
        <v> </v>
      </c>
      <c r="N399" s="6" t="str">
        <f>IF(M399="","",'Summary'!$B$4+SUM($M$2:M399))</f>
        <v> </v>
      </c>
    </row>
    <row r="400" spans="1:14">
      <c r="A400" s="2"/>
      <c r="B400" s="3"/>
      <c r="C400" s="3"/>
      <c r="D400" s="3"/>
      <c r="E400" s="3"/>
      <c r="F400" s="3"/>
      <c r="G400" s="3"/>
      <c r="H400" s="4"/>
      <c r="I400" s="5"/>
      <c r="J400" s="6"/>
      <c r="K400" s="3"/>
      <c r="L400" s="6"/>
      <c r="M400" s="6" t="str">
        <f>IF(OR(K400="",K400="Pending"),"",L400-J400)</f>
        <v> </v>
      </c>
      <c r="N400" s="6" t="str">
        <f>IF(M400="","",'Summary'!$B$4+SUM($M$2:M400))</f>
        <v> </v>
      </c>
    </row>
    <row r="401" spans="1:14">
      <c r="A401" s="2"/>
      <c r="B401" s="3"/>
      <c r="C401" s="3"/>
      <c r="D401" s="3"/>
      <c r="E401" s="3"/>
      <c r="F401" s="3"/>
      <c r="G401" s="3"/>
      <c r="H401" s="4"/>
      <c r="I401" s="5"/>
      <c r="J401" s="6"/>
      <c r="K401" s="3"/>
      <c r="L401" s="6"/>
      <c r="M401" s="6" t="str">
        <f>IF(OR(K401="",K401="Pending"),"",L401-J401)</f>
        <v> </v>
      </c>
      <c r="N401" s="6" t="str">
        <f>IF(M401="","",'Summary'!$B$4+SUM($M$2:M401))</f>
        <v> </v>
      </c>
    </row>
    <row r="402" spans="1:14">
      <c r="A402" s="2"/>
      <c r="B402" s="3"/>
      <c r="C402" s="3"/>
      <c r="D402" s="3"/>
      <c r="E402" s="3"/>
      <c r="F402" s="3"/>
      <c r="G402" s="3"/>
      <c r="H402" s="4"/>
      <c r="I402" s="5"/>
      <c r="J402" s="6"/>
      <c r="K402" s="3"/>
      <c r="L402" s="6"/>
      <c r="M402" s="6" t="str">
        <f>IF(OR(K402="",K402="Pending"),"",L402-J402)</f>
        <v> </v>
      </c>
      <c r="N402" s="6" t="str">
        <f>IF(M402="","",'Summary'!$B$4+SUM($M$2:M402))</f>
        <v> </v>
      </c>
    </row>
    <row r="403" spans="1:14">
      <c r="A403" s="2"/>
      <c r="B403" s="3"/>
      <c r="C403" s="3"/>
      <c r="D403" s="3"/>
      <c r="E403" s="3"/>
      <c r="F403" s="3"/>
      <c r="G403" s="3"/>
      <c r="H403" s="4"/>
      <c r="I403" s="5"/>
      <c r="J403" s="6"/>
      <c r="K403" s="3"/>
      <c r="L403" s="6"/>
      <c r="M403" s="6" t="str">
        <f>IF(OR(K403="",K403="Pending"),"",L403-J403)</f>
        <v> </v>
      </c>
      <c r="N403" s="6" t="str">
        <f>IF(M403="","",'Summary'!$B$4+SUM($M$2:M403))</f>
        <v> </v>
      </c>
    </row>
    <row r="404" spans="1:14">
      <c r="A404" s="2"/>
      <c r="B404" s="3"/>
      <c r="C404" s="3"/>
      <c r="D404" s="3"/>
      <c r="E404" s="3"/>
      <c r="F404" s="3"/>
      <c r="G404" s="3"/>
      <c r="H404" s="4"/>
      <c r="I404" s="5"/>
      <c r="J404" s="6"/>
      <c r="K404" s="3"/>
      <c r="L404" s="6"/>
      <c r="M404" s="6" t="str">
        <f>IF(OR(K404="",K404="Pending"),"",L404-J404)</f>
        <v> </v>
      </c>
      <c r="N404" s="6" t="str">
        <f>IF(M404="","",'Summary'!$B$4+SUM($M$2:M404))</f>
        <v> </v>
      </c>
    </row>
    <row r="405" spans="1:14">
      <c r="A405" s="2"/>
      <c r="B405" s="3"/>
      <c r="C405" s="3"/>
      <c r="D405" s="3"/>
      <c r="E405" s="3"/>
      <c r="F405" s="3"/>
      <c r="G405" s="3"/>
      <c r="H405" s="4"/>
      <c r="I405" s="5"/>
      <c r="J405" s="6"/>
      <c r="K405" s="3"/>
      <c r="L405" s="6"/>
      <c r="M405" s="6" t="str">
        <f>IF(OR(K405="",K405="Pending"),"",L405-J405)</f>
        <v> </v>
      </c>
      <c r="N405" s="6" t="str">
        <f>IF(M405="","",'Summary'!$B$4+SUM($M$2:M405))</f>
        <v> </v>
      </c>
    </row>
    <row r="406" spans="1:14">
      <c r="A406" s="2"/>
      <c r="B406" s="3"/>
      <c r="C406" s="3"/>
      <c r="D406" s="3"/>
      <c r="E406" s="3"/>
      <c r="F406" s="3"/>
      <c r="G406" s="3"/>
      <c r="H406" s="4"/>
      <c r="I406" s="5"/>
      <c r="J406" s="6"/>
      <c r="K406" s="3"/>
      <c r="L406" s="6"/>
      <c r="M406" s="6" t="str">
        <f>IF(OR(K406="",K406="Pending"),"",L406-J406)</f>
        <v> </v>
      </c>
      <c r="N406" s="6" t="str">
        <f>IF(M406="","",'Summary'!$B$4+SUM($M$2:M406))</f>
        <v> </v>
      </c>
    </row>
    <row r="407" spans="1:14">
      <c r="A407" s="2"/>
      <c r="B407" s="3"/>
      <c r="C407" s="3"/>
      <c r="D407" s="3"/>
      <c r="E407" s="3"/>
      <c r="F407" s="3"/>
      <c r="G407" s="3"/>
      <c r="H407" s="4"/>
      <c r="I407" s="5"/>
      <c r="J407" s="6"/>
      <c r="K407" s="3"/>
      <c r="L407" s="6"/>
      <c r="M407" s="6" t="str">
        <f>IF(OR(K407="",K407="Pending"),"",L407-J407)</f>
        <v> </v>
      </c>
      <c r="N407" s="6" t="str">
        <f>IF(M407="","",'Summary'!$B$4+SUM($M$2:M407))</f>
        <v> </v>
      </c>
    </row>
    <row r="408" spans="1:14">
      <c r="A408" s="2"/>
      <c r="B408" s="3"/>
      <c r="C408" s="3"/>
      <c r="D408" s="3"/>
      <c r="E408" s="3"/>
      <c r="F408" s="3"/>
      <c r="G408" s="3"/>
      <c r="H408" s="4"/>
      <c r="I408" s="5"/>
      <c r="J408" s="6"/>
      <c r="K408" s="3"/>
      <c r="L408" s="6"/>
      <c r="M408" s="6" t="str">
        <f>IF(OR(K408="",K408="Pending"),"",L408-J408)</f>
        <v> </v>
      </c>
      <c r="N408" s="6" t="str">
        <f>IF(M408="","",'Summary'!$B$4+SUM($M$2:M408))</f>
        <v> </v>
      </c>
    </row>
    <row r="409" spans="1:14">
      <c r="A409" s="2"/>
      <c r="B409" s="3"/>
      <c r="C409" s="3"/>
      <c r="D409" s="3"/>
      <c r="E409" s="3"/>
      <c r="F409" s="3"/>
      <c r="G409" s="3"/>
      <c r="H409" s="4"/>
      <c r="I409" s="5"/>
      <c r="J409" s="6"/>
      <c r="K409" s="3"/>
      <c r="L409" s="6"/>
      <c r="M409" s="6" t="str">
        <f>IF(OR(K409="",K409="Pending"),"",L409-J409)</f>
        <v> </v>
      </c>
      <c r="N409" s="6" t="str">
        <f>IF(M409="","",'Summary'!$B$4+SUM($M$2:M409))</f>
        <v> </v>
      </c>
    </row>
    <row r="410" spans="1:14">
      <c r="A410" s="2"/>
      <c r="B410" s="3"/>
      <c r="C410" s="3"/>
      <c r="D410" s="3"/>
      <c r="E410" s="3"/>
      <c r="F410" s="3"/>
      <c r="G410" s="3"/>
      <c r="H410" s="4"/>
      <c r="I410" s="5"/>
      <c r="J410" s="6"/>
      <c r="K410" s="3"/>
      <c r="L410" s="6"/>
      <c r="M410" s="6" t="str">
        <f>IF(OR(K410="",K410="Pending"),"",L410-J410)</f>
        <v> </v>
      </c>
      <c r="N410" s="6" t="str">
        <f>IF(M410="","",'Summary'!$B$4+SUM($M$2:M410))</f>
        <v> </v>
      </c>
    </row>
    <row r="411" spans="1:14">
      <c r="A411" s="2"/>
      <c r="B411" s="3"/>
      <c r="C411" s="3"/>
      <c r="D411" s="3"/>
      <c r="E411" s="3"/>
      <c r="F411" s="3"/>
      <c r="G411" s="3"/>
      <c r="H411" s="4"/>
      <c r="I411" s="5"/>
      <c r="J411" s="6"/>
      <c r="K411" s="3"/>
      <c r="L411" s="6"/>
      <c r="M411" s="6" t="str">
        <f>IF(OR(K411="",K411="Pending"),"",L411-J411)</f>
        <v> </v>
      </c>
      <c r="N411" s="6" t="str">
        <f>IF(M411="","",'Summary'!$B$4+SUM($M$2:M411))</f>
        <v> </v>
      </c>
    </row>
    <row r="412" spans="1:14">
      <c r="A412" s="2"/>
      <c r="B412" s="3"/>
      <c r="C412" s="3"/>
      <c r="D412" s="3"/>
      <c r="E412" s="3"/>
      <c r="F412" s="3"/>
      <c r="G412" s="3"/>
      <c r="H412" s="4"/>
      <c r="I412" s="5"/>
      <c r="J412" s="6"/>
      <c r="K412" s="3"/>
      <c r="L412" s="6"/>
      <c r="M412" s="6" t="str">
        <f>IF(OR(K412="",K412="Pending"),"",L412-J412)</f>
        <v> </v>
      </c>
      <c r="N412" s="6" t="str">
        <f>IF(M412="","",'Summary'!$B$4+SUM($M$2:M412))</f>
        <v> </v>
      </c>
    </row>
    <row r="413" spans="1:14">
      <c r="A413" s="2"/>
      <c r="B413" s="3"/>
      <c r="C413" s="3"/>
      <c r="D413" s="3"/>
      <c r="E413" s="3"/>
      <c r="F413" s="3"/>
      <c r="G413" s="3"/>
      <c r="H413" s="4"/>
      <c r="I413" s="5"/>
      <c r="J413" s="6"/>
      <c r="K413" s="3"/>
      <c r="L413" s="6"/>
      <c r="M413" s="6" t="str">
        <f>IF(OR(K413="",K413="Pending"),"",L413-J413)</f>
        <v> </v>
      </c>
      <c r="N413" s="6" t="str">
        <f>IF(M413="","",'Summary'!$B$4+SUM($M$2:M413))</f>
        <v> </v>
      </c>
    </row>
    <row r="414" spans="1:14">
      <c r="A414" s="2"/>
      <c r="B414" s="3"/>
      <c r="C414" s="3"/>
      <c r="D414" s="3"/>
      <c r="E414" s="3"/>
      <c r="F414" s="3"/>
      <c r="G414" s="3"/>
      <c r="H414" s="4"/>
      <c r="I414" s="5"/>
      <c r="J414" s="6"/>
      <c r="K414" s="3"/>
      <c r="L414" s="6"/>
      <c r="M414" s="6" t="str">
        <f>IF(OR(K414="",K414="Pending"),"",L414-J414)</f>
        <v> </v>
      </c>
      <c r="N414" s="6" t="str">
        <f>IF(M414="","",'Summary'!$B$4+SUM($M$2:M414))</f>
        <v> </v>
      </c>
    </row>
    <row r="415" spans="1:14">
      <c r="A415" s="2"/>
      <c r="B415" s="3"/>
      <c r="C415" s="3"/>
      <c r="D415" s="3"/>
      <c r="E415" s="3"/>
      <c r="F415" s="3"/>
      <c r="G415" s="3"/>
      <c r="H415" s="4"/>
      <c r="I415" s="5"/>
      <c r="J415" s="6"/>
      <c r="K415" s="3"/>
      <c r="L415" s="6"/>
      <c r="M415" s="6" t="str">
        <f>IF(OR(K415="",K415="Pending"),"",L415-J415)</f>
        <v> </v>
      </c>
      <c r="N415" s="6" t="str">
        <f>IF(M415="","",'Summary'!$B$4+SUM($M$2:M415))</f>
        <v> </v>
      </c>
    </row>
    <row r="416" spans="1:14">
      <c r="A416" s="2"/>
      <c r="B416" s="3"/>
      <c r="C416" s="3"/>
      <c r="D416" s="3"/>
      <c r="E416" s="3"/>
      <c r="F416" s="3"/>
      <c r="G416" s="3"/>
      <c r="H416" s="4"/>
      <c r="I416" s="5"/>
      <c r="J416" s="6"/>
      <c r="K416" s="3"/>
      <c r="L416" s="6"/>
      <c r="M416" s="6" t="str">
        <f>IF(OR(K416="",K416="Pending"),"",L416-J416)</f>
        <v> </v>
      </c>
      <c r="N416" s="6" t="str">
        <f>IF(M416="","",'Summary'!$B$4+SUM($M$2:M416))</f>
        <v> </v>
      </c>
    </row>
    <row r="417" spans="1:14">
      <c r="A417" s="2"/>
      <c r="B417" s="3"/>
      <c r="C417" s="3"/>
      <c r="D417" s="3"/>
      <c r="E417" s="3"/>
      <c r="F417" s="3"/>
      <c r="G417" s="3"/>
      <c r="H417" s="4"/>
      <c r="I417" s="5"/>
      <c r="J417" s="6"/>
      <c r="K417" s="3"/>
      <c r="L417" s="6"/>
      <c r="M417" s="6" t="str">
        <f>IF(OR(K417="",K417="Pending"),"",L417-J417)</f>
        <v> </v>
      </c>
      <c r="N417" s="6" t="str">
        <f>IF(M417="","",'Summary'!$B$4+SUM($M$2:M417))</f>
        <v> </v>
      </c>
    </row>
    <row r="418" spans="1:14">
      <c r="A418" s="2"/>
      <c r="B418" s="3"/>
      <c r="C418" s="3"/>
      <c r="D418" s="3"/>
      <c r="E418" s="3"/>
      <c r="F418" s="3"/>
      <c r="G418" s="3"/>
      <c r="H418" s="4"/>
      <c r="I418" s="5"/>
      <c r="J418" s="6"/>
      <c r="K418" s="3"/>
      <c r="L418" s="6"/>
      <c r="M418" s="6" t="str">
        <f>IF(OR(K418="",K418="Pending"),"",L418-J418)</f>
        <v> </v>
      </c>
      <c r="N418" s="6" t="str">
        <f>IF(M418="","",'Summary'!$B$4+SUM($M$2:M418))</f>
        <v> </v>
      </c>
    </row>
    <row r="419" spans="1:14">
      <c r="A419" s="2"/>
      <c r="B419" s="3"/>
      <c r="C419" s="3"/>
      <c r="D419" s="3"/>
      <c r="E419" s="3"/>
      <c r="F419" s="3"/>
      <c r="G419" s="3"/>
      <c r="H419" s="4"/>
      <c r="I419" s="5"/>
      <c r="J419" s="6"/>
      <c r="K419" s="3"/>
      <c r="L419" s="6"/>
      <c r="M419" s="6" t="str">
        <f>IF(OR(K419="",K419="Pending"),"",L419-J419)</f>
        <v> </v>
      </c>
      <c r="N419" s="6" t="str">
        <f>IF(M419="","",'Summary'!$B$4+SUM($M$2:M419))</f>
        <v> </v>
      </c>
    </row>
    <row r="420" spans="1:14">
      <c r="A420" s="2"/>
      <c r="B420" s="3"/>
      <c r="C420" s="3"/>
      <c r="D420" s="3"/>
      <c r="E420" s="3"/>
      <c r="F420" s="3"/>
      <c r="G420" s="3"/>
      <c r="H420" s="4"/>
      <c r="I420" s="5"/>
      <c r="J420" s="6"/>
      <c r="K420" s="3"/>
      <c r="L420" s="6"/>
      <c r="M420" s="6" t="str">
        <f>IF(OR(K420="",K420="Pending"),"",L420-J420)</f>
        <v> </v>
      </c>
      <c r="N420" s="6" t="str">
        <f>IF(M420="","",'Summary'!$B$4+SUM($M$2:M420))</f>
        <v> </v>
      </c>
    </row>
    <row r="421" spans="1:14">
      <c r="A421" s="2"/>
      <c r="B421" s="3"/>
      <c r="C421" s="3"/>
      <c r="D421" s="3"/>
      <c r="E421" s="3"/>
      <c r="F421" s="3"/>
      <c r="G421" s="3"/>
      <c r="H421" s="4"/>
      <c r="I421" s="5"/>
      <c r="J421" s="6"/>
      <c r="K421" s="3"/>
      <c r="L421" s="6"/>
      <c r="M421" s="6" t="str">
        <f>IF(OR(K421="",K421="Pending"),"",L421-J421)</f>
        <v> </v>
      </c>
      <c r="N421" s="6" t="str">
        <f>IF(M421="","",'Summary'!$B$4+SUM($M$2:M421))</f>
        <v> </v>
      </c>
    </row>
    <row r="422" spans="1:14">
      <c r="A422" s="2"/>
      <c r="B422" s="3"/>
      <c r="C422" s="3"/>
      <c r="D422" s="3"/>
      <c r="E422" s="3"/>
      <c r="F422" s="3"/>
      <c r="G422" s="3"/>
      <c r="H422" s="4"/>
      <c r="I422" s="5"/>
      <c r="J422" s="6"/>
      <c r="K422" s="3"/>
      <c r="L422" s="6"/>
      <c r="M422" s="6" t="str">
        <f>IF(OR(K422="",K422="Pending"),"",L422-J422)</f>
        <v> </v>
      </c>
      <c r="N422" s="6" t="str">
        <f>IF(M422="","",'Summary'!$B$4+SUM($M$2:M422))</f>
        <v> </v>
      </c>
    </row>
    <row r="423" spans="1:14">
      <c r="A423" s="2"/>
      <c r="B423" s="3"/>
      <c r="C423" s="3"/>
      <c r="D423" s="3"/>
      <c r="E423" s="3"/>
      <c r="F423" s="3"/>
      <c r="G423" s="3"/>
      <c r="H423" s="4"/>
      <c r="I423" s="5"/>
      <c r="J423" s="6"/>
      <c r="K423" s="3"/>
      <c r="L423" s="6"/>
      <c r="M423" s="6" t="str">
        <f>IF(OR(K423="",K423="Pending"),"",L423-J423)</f>
        <v> </v>
      </c>
      <c r="N423" s="6" t="str">
        <f>IF(M423="","",'Summary'!$B$4+SUM($M$2:M423))</f>
        <v> </v>
      </c>
    </row>
    <row r="424" spans="1:14">
      <c r="A424" s="2"/>
      <c r="B424" s="3"/>
      <c r="C424" s="3"/>
      <c r="D424" s="3"/>
      <c r="E424" s="3"/>
      <c r="F424" s="3"/>
      <c r="G424" s="3"/>
      <c r="H424" s="4"/>
      <c r="I424" s="5"/>
      <c r="J424" s="6"/>
      <c r="K424" s="3"/>
      <c r="L424" s="6"/>
      <c r="M424" s="6" t="str">
        <f>IF(OR(K424="",K424="Pending"),"",L424-J424)</f>
        <v> </v>
      </c>
      <c r="N424" s="6" t="str">
        <f>IF(M424="","",'Summary'!$B$4+SUM($M$2:M424))</f>
        <v> </v>
      </c>
    </row>
    <row r="425" spans="1:14">
      <c r="A425" s="2"/>
      <c r="B425" s="3"/>
      <c r="C425" s="3"/>
      <c r="D425" s="3"/>
      <c r="E425" s="3"/>
      <c r="F425" s="3"/>
      <c r="G425" s="3"/>
      <c r="H425" s="4"/>
      <c r="I425" s="5"/>
      <c r="J425" s="6"/>
      <c r="K425" s="3"/>
      <c r="L425" s="6"/>
      <c r="M425" s="6" t="str">
        <f>IF(OR(K425="",K425="Pending"),"",L425-J425)</f>
        <v> </v>
      </c>
      <c r="N425" s="6" t="str">
        <f>IF(M425="","",'Summary'!$B$4+SUM($M$2:M425))</f>
        <v> </v>
      </c>
    </row>
    <row r="426" spans="1:14">
      <c r="A426" s="2"/>
      <c r="B426" s="3"/>
      <c r="C426" s="3"/>
      <c r="D426" s="3"/>
      <c r="E426" s="3"/>
      <c r="F426" s="3"/>
      <c r="G426" s="3"/>
      <c r="H426" s="4"/>
      <c r="I426" s="5"/>
      <c r="J426" s="6"/>
      <c r="K426" s="3"/>
      <c r="L426" s="6"/>
      <c r="M426" s="6" t="str">
        <f>IF(OR(K426="",K426="Pending"),"",L426-J426)</f>
        <v> </v>
      </c>
      <c r="N426" s="6" t="str">
        <f>IF(M426="","",'Summary'!$B$4+SUM($M$2:M426))</f>
        <v> </v>
      </c>
    </row>
    <row r="427" spans="1:14">
      <c r="A427" s="2"/>
      <c r="B427" s="3"/>
      <c r="C427" s="3"/>
      <c r="D427" s="3"/>
      <c r="E427" s="3"/>
      <c r="F427" s="3"/>
      <c r="G427" s="3"/>
      <c r="H427" s="4"/>
      <c r="I427" s="5"/>
      <c r="J427" s="6"/>
      <c r="K427" s="3"/>
      <c r="L427" s="6"/>
      <c r="M427" s="6" t="str">
        <f>IF(OR(K427="",K427="Pending"),"",L427-J427)</f>
        <v> </v>
      </c>
      <c r="N427" s="6" t="str">
        <f>IF(M427="","",'Summary'!$B$4+SUM($M$2:M427))</f>
        <v> </v>
      </c>
    </row>
    <row r="428" spans="1:14">
      <c r="A428" s="2"/>
      <c r="B428" s="3"/>
      <c r="C428" s="3"/>
      <c r="D428" s="3"/>
      <c r="E428" s="3"/>
      <c r="F428" s="3"/>
      <c r="G428" s="3"/>
      <c r="H428" s="4"/>
      <c r="I428" s="5"/>
      <c r="J428" s="6"/>
      <c r="K428" s="3"/>
      <c r="L428" s="6"/>
      <c r="M428" s="6" t="str">
        <f>IF(OR(K428="",K428="Pending"),"",L428-J428)</f>
        <v> </v>
      </c>
      <c r="N428" s="6" t="str">
        <f>IF(M428="","",'Summary'!$B$4+SUM($M$2:M428))</f>
        <v> </v>
      </c>
    </row>
    <row r="429" spans="1:14">
      <c r="A429" s="2"/>
      <c r="B429" s="3"/>
      <c r="C429" s="3"/>
      <c r="D429" s="3"/>
      <c r="E429" s="3"/>
      <c r="F429" s="3"/>
      <c r="G429" s="3"/>
      <c r="H429" s="4"/>
      <c r="I429" s="5"/>
      <c r="J429" s="6"/>
      <c r="K429" s="3"/>
      <c r="L429" s="6"/>
      <c r="M429" s="6" t="str">
        <f>IF(OR(K429="",K429="Pending"),"",L429-J429)</f>
        <v> </v>
      </c>
      <c r="N429" s="6" t="str">
        <f>IF(M429="","",'Summary'!$B$4+SUM($M$2:M429))</f>
        <v> </v>
      </c>
    </row>
    <row r="430" spans="1:14">
      <c r="A430" s="2"/>
      <c r="B430" s="3"/>
      <c r="C430" s="3"/>
      <c r="D430" s="3"/>
      <c r="E430" s="3"/>
      <c r="F430" s="3"/>
      <c r="G430" s="3"/>
      <c r="H430" s="4"/>
      <c r="I430" s="5"/>
      <c r="J430" s="6"/>
      <c r="K430" s="3"/>
      <c r="L430" s="6"/>
      <c r="M430" s="6" t="str">
        <f>IF(OR(K430="",K430="Pending"),"",L430-J430)</f>
        <v> </v>
      </c>
      <c r="N430" s="6" t="str">
        <f>IF(M430="","",'Summary'!$B$4+SUM($M$2:M430))</f>
        <v> </v>
      </c>
    </row>
    <row r="431" spans="1:14">
      <c r="A431" s="2"/>
      <c r="B431" s="3"/>
      <c r="C431" s="3"/>
      <c r="D431" s="3"/>
      <c r="E431" s="3"/>
      <c r="F431" s="3"/>
      <c r="G431" s="3"/>
      <c r="H431" s="4"/>
      <c r="I431" s="5"/>
      <c r="J431" s="6"/>
      <c r="K431" s="3"/>
      <c r="L431" s="6"/>
      <c r="M431" s="6" t="str">
        <f>IF(OR(K431="",K431="Pending"),"",L431-J431)</f>
        <v> </v>
      </c>
      <c r="N431" s="6" t="str">
        <f>IF(M431="","",'Summary'!$B$4+SUM($M$2:M431))</f>
        <v> </v>
      </c>
    </row>
    <row r="432" spans="1:14">
      <c r="A432" s="2"/>
      <c r="B432" s="3"/>
      <c r="C432" s="3"/>
      <c r="D432" s="3"/>
      <c r="E432" s="3"/>
      <c r="F432" s="3"/>
      <c r="G432" s="3"/>
      <c r="H432" s="4"/>
      <c r="I432" s="5"/>
      <c r="J432" s="6"/>
      <c r="K432" s="3"/>
      <c r="L432" s="6"/>
      <c r="M432" s="6" t="str">
        <f>IF(OR(K432="",K432="Pending"),"",L432-J432)</f>
        <v> </v>
      </c>
      <c r="N432" s="6" t="str">
        <f>IF(M432="","",'Summary'!$B$4+SUM($M$2:M432))</f>
        <v> </v>
      </c>
    </row>
    <row r="433" spans="1:14">
      <c r="A433" s="2"/>
      <c r="B433" s="3"/>
      <c r="C433" s="3"/>
      <c r="D433" s="3"/>
      <c r="E433" s="3"/>
      <c r="F433" s="3"/>
      <c r="G433" s="3"/>
      <c r="H433" s="4"/>
      <c r="I433" s="5"/>
      <c r="J433" s="6"/>
      <c r="K433" s="3"/>
      <c r="L433" s="6"/>
      <c r="M433" s="6" t="str">
        <f>IF(OR(K433="",K433="Pending"),"",L433-J433)</f>
        <v> </v>
      </c>
      <c r="N433" s="6" t="str">
        <f>IF(M433="","",'Summary'!$B$4+SUM($M$2:M433))</f>
        <v> </v>
      </c>
    </row>
    <row r="434" spans="1:14">
      <c r="A434" s="2"/>
      <c r="B434" s="3"/>
      <c r="C434" s="3"/>
      <c r="D434" s="3"/>
      <c r="E434" s="3"/>
      <c r="F434" s="3"/>
      <c r="G434" s="3"/>
      <c r="H434" s="4"/>
      <c r="I434" s="5"/>
      <c r="J434" s="6"/>
      <c r="K434" s="3"/>
      <c r="L434" s="6"/>
      <c r="M434" s="6" t="str">
        <f>IF(OR(K434="",K434="Pending"),"",L434-J434)</f>
        <v> </v>
      </c>
      <c r="N434" s="6" t="str">
        <f>IF(M434="","",'Summary'!$B$4+SUM($M$2:M434))</f>
        <v> </v>
      </c>
    </row>
    <row r="435" spans="1:14">
      <c r="A435" s="2"/>
      <c r="B435" s="3"/>
      <c r="C435" s="3"/>
      <c r="D435" s="3"/>
      <c r="E435" s="3"/>
      <c r="F435" s="3"/>
      <c r="G435" s="3"/>
      <c r="H435" s="4"/>
      <c r="I435" s="5"/>
      <c r="J435" s="6"/>
      <c r="K435" s="3"/>
      <c r="L435" s="6"/>
      <c r="M435" s="6" t="str">
        <f>IF(OR(K435="",K435="Pending"),"",L435-J435)</f>
        <v> </v>
      </c>
      <c r="N435" s="6" t="str">
        <f>IF(M435="","",'Summary'!$B$4+SUM($M$2:M435))</f>
        <v> </v>
      </c>
    </row>
    <row r="436" spans="1:14">
      <c r="A436" s="2"/>
      <c r="B436" s="3"/>
      <c r="C436" s="3"/>
      <c r="D436" s="3"/>
      <c r="E436" s="3"/>
      <c r="F436" s="3"/>
      <c r="G436" s="3"/>
      <c r="H436" s="4"/>
      <c r="I436" s="5"/>
      <c r="J436" s="6"/>
      <c r="K436" s="3"/>
      <c r="L436" s="6"/>
      <c r="M436" s="6" t="str">
        <f>IF(OR(K436="",K436="Pending"),"",L436-J436)</f>
        <v> </v>
      </c>
      <c r="N436" s="6" t="str">
        <f>IF(M436="","",'Summary'!$B$4+SUM($M$2:M436))</f>
        <v> </v>
      </c>
    </row>
    <row r="437" spans="1:14">
      <c r="A437" s="2"/>
      <c r="B437" s="3"/>
      <c r="C437" s="3"/>
      <c r="D437" s="3"/>
      <c r="E437" s="3"/>
      <c r="F437" s="3"/>
      <c r="G437" s="3"/>
      <c r="H437" s="4"/>
      <c r="I437" s="5"/>
      <c r="J437" s="6"/>
      <c r="K437" s="3"/>
      <c r="L437" s="6"/>
      <c r="M437" s="6" t="str">
        <f>IF(OR(K437="",K437="Pending"),"",L437-J437)</f>
        <v> </v>
      </c>
      <c r="N437" s="6" t="str">
        <f>IF(M437="","",'Summary'!$B$4+SUM($M$2:M437))</f>
        <v> </v>
      </c>
    </row>
    <row r="438" spans="1:14">
      <c r="A438" s="2"/>
      <c r="B438" s="3"/>
      <c r="C438" s="3"/>
      <c r="D438" s="3"/>
      <c r="E438" s="3"/>
      <c r="F438" s="3"/>
      <c r="G438" s="3"/>
      <c r="H438" s="4"/>
      <c r="I438" s="5"/>
      <c r="J438" s="6"/>
      <c r="K438" s="3"/>
      <c r="L438" s="6"/>
      <c r="M438" s="6" t="str">
        <f>IF(OR(K438="",K438="Pending"),"",L438-J438)</f>
        <v> </v>
      </c>
      <c r="N438" s="6" t="str">
        <f>IF(M438="","",'Summary'!$B$4+SUM($M$2:M438))</f>
        <v> </v>
      </c>
    </row>
    <row r="439" spans="1:14">
      <c r="A439" s="2"/>
      <c r="B439" s="3"/>
      <c r="C439" s="3"/>
      <c r="D439" s="3"/>
      <c r="E439" s="3"/>
      <c r="F439" s="3"/>
      <c r="G439" s="3"/>
      <c r="H439" s="4"/>
      <c r="I439" s="5"/>
      <c r="J439" s="6"/>
      <c r="K439" s="3"/>
      <c r="L439" s="6"/>
      <c r="M439" s="6" t="str">
        <f>IF(OR(K439="",K439="Pending"),"",L439-J439)</f>
        <v> </v>
      </c>
      <c r="N439" s="6" t="str">
        <f>IF(M439="","",'Summary'!$B$4+SUM($M$2:M439))</f>
        <v> </v>
      </c>
    </row>
    <row r="440" spans="1:14">
      <c r="A440" s="2"/>
      <c r="B440" s="3"/>
      <c r="C440" s="3"/>
      <c r="D440" s="3"/>
      <c r="E440" s="3"/>
      <c r="F440" s="3"/>
      <c r="G440" s="3"/>
      <c r="H440" s="4"/>
      <c r="I440" s="5"/>
      <c r="J440" s="6"/>
      <c r="K440" s="3"/>
      <c r="L440" s="6"/>
      <c r="M440" s="6" t="str">
        <f>IF(OR(K440="",K440="Pending"),"",L440-J440)</f>
        <v> </v>
      </c>
      <c r="N440" s="6" t="str">
        <f>IF(M440="","",'Summary'!$B$4+SUM($M$2:M440))</f>
        <v> </v>
      </c>
    </row>
    <row r="441" spans="1:14">
      <c r="A441" s="2"/>
      <c r="B441" s="3"/>
      <c r="C441" s="3"/>
      <c r="D441" s="3"/>
      <c r="E441" s="3"/>
      <c r="F441" s="3"/>
      <c r="G441" s="3"/>
      <c r="H441" s="4"/>
      <c r="I441" s="5"/>
      <c r="J441" s="6"/>
      <c r="K441" s="3"/>
      <c r="L441" s="6"/>
      <c r="M441" s="6" t="str">
        <f>IF(OR(K441="",K441="Pending"),"",L441-J441)</f>
        <v> </v>
      </c>
      <c r="N441" s="6" t="str">
        <f>IF(M441="","",'Summary'!$B$4+SUM($M$2:M441))</f>
        <v> </v>
      </c>
    </row>
    <row r="442" spans="1:14">
      <c r="A442" s="2"/>
      <c r="B442" s="3"/>
      <c r="C442" s="3"/>
      <c r="D442" s="3"/>
      <c r="E442" s="3"/>
      <c r="F442" s="3"/>
      <c r="G442" s="3"/>
      <c r="H442" s="4"/>
      <c r="I442" s="5"/>
      <c r="J442" s="6"/>
      <c r="K442" s="3"/>
      <c r="L442" s="6"/>
      <c r="M442" s="6" t="str">
        <f>IF(OR(K442="",K442="Pending"),"",L442-J442)</f>
        <v> </v>
      </c>
      <c r="N442" s="6" t="str">
        <f>IF(M442="","",'Summary'!$B$4+SUM($M$2:M442))</f>
        <v> </v>
      </c>
    </row>
    <row r="443" spans="1:14">
      <c r="A443" s="2"/>
      <c r="B443" s="3"/>
      <c r="C443" s="3"/>
      <c r="D443" s="3"/>
      <c r="E443" s="3"/>
      <c r="F443" s="3"/>
      <c r="G443" s="3"/>
      <c r="H443" s="4"/>
      <c r="I443" s="5"/>
      <c r="J443" s="6"/>
      <c r="K443" s="3"/>
      <c r="L443" s="6"/>
      <c r="M443" s="6" t="str">
        <f>IF(OR(K443="",K443="Pending"),"",L443-J443)</f>
        <v> </v>
      </c>
      <c r="N443" s="6" t="str">
        <f>IF(M443="","",'Summary'!$B$4+SUM($M$2:M443))</f>
        <v> </v>
      </c>
    </row>
    <row r="444" spans="1:14">
      <c r="A444" s="2"/>
      <c r="B444" s="3"/>
      <c r="C444" s="3"/>
      <c r="D444" s="3"/>
      <c r="E444" s="3"/>
      <c r="F444" s="3"/>
      <c r="G444" s="3"/>
      <c r="H444" s="4"/>
      <c r="I444" s="5"/>
      <c r="J444" s="6"/>
      <c r="K444" s="3"/>
      <c r="L444" s="6"/>
      <c r="M444" s="6" t="str">
        <f>IF(OR(K444="",K444="Pending"),"",L444-J444)</f>
        <v> </v>
      </c>
      <c r="N444" s="6" t="str">
        <f>IF(M444="","",'Summary'!$B$4+SUM($M$2:M444))</f>
        <v> </v>
      </c>
    </row>
    <row r="445" spans="1:14">
      <c r="A445" s="2"/>
      <c r="B445" s="3"/>
      <c r="C445" s="3"/>
      <c r="D445" s="3"/>
      <c r="E445" s="3"/>
      <c r="F445" s="3"/>
      <c r="G445" s="3"/>
      <c r="H445" s="4"/>
      <c r="I445" s="5"/>
      <c r="J445" s="6"/>
      <c r="K445" s="3"/>
      <c r="L445" s="6"/>
      <c r="M445" s="6" t="str">
        <f>IF(OR(K445="",K445="Pending"),"",L445-J445)</f>
        <v> </v>
      </c>
      <c r="N445" s="6" t="str">
        <f>IF(M445="","",'Summary'!$B$4+SUM($M$2:M445))</f>
        <v> </v>
      </c>
    </row>
    <row r="446" spans="1:14">
      <c r="A446" s="2"/>
      <c r="B446" s="3"/>
      <c r="C446" s="3"/>
      <c r="D446" s="3"/>
      <c r="E446" s="3"/>
      <c r="F446" s="3"/>
      <c r="G446" s="3"/>
      <c r="H446" s="4"/>
      <c r="I446" s="5"/>
      <c r="J446" s="6"/>
      <c r="K446" s="3"/>
      <c r="L446" s="6"/>
      <c r="M446" s="6" t="str">
        <f>IF(OR(K446="",K446="Pending"),"",L446-J446)</f>
        <v> </v>
      </c>
      <c r="N446" s="6" t="str">
        <f>IF(M446="","",'Summary'!$B$4+SUM($M$2:M446))</f>
        <v> </v>
      </c>
    </row>
    <row r="447" spans="1:14">
      <c r="A447" s="2"/>
      <c r="B447" s="3"/>
      <c r="C447" s="3"/>
      <c r="D447" s="3"/>
      <c r="E447" s="3"/>
      <c r="F447" s="3"/>
      <c r="G447" s="3"/>
      <c r="H447" s="4"/>
      <c r="I447" s="5"/>
      <c r="J447" s="6"/>
      <c r="K447" s="3"/>
      <c r="L447" s="6"/>
      <c r="M447" s="6" t="str">
        <f>IF(OR(K447="",K447="Pending"),"",L447-J447)</f>
        <v> </v>
      </c>
      <c r="N447" s="6" t="str">
        <f>IF(M447="","",'Summary'!$B$4+SUM($M$2:M447))</f>
        <v> </v>
      </c>
    </row>
    <row r="448" spans="1:14">
      <c r="A448" s="2"/>
      <c r="B448" s="3"/>
      <c r="C448" s="3"/>
      <c r="D448" s="3"/>
      <c r="E448" s="3"/>
      <c r="F448" s="3"/>
      <c r="G448" s="3"/>
      <c r="H448" s="4"/>
      <c r="I448" s="5"/>
      <c r="J448" s="6"/>
      <c r="K448" s="3"/>
      <c r="L448" s="6"/>
      <c r="M448" s="6" t="str">
        <f>IF(OR(K448="",K448="Pending"),"",L448-J448)</f>
        <v> </v>
      </c>
      <c r="N448" s="6" t="str">
        <f>IF(M448="","",'Summary'!$B$4+SUM($M$2:M448))</f>
        <v> </v>
      </c>
    </row>
    <row r="449" spans="1:14">
      <c r="A449" s="2"/>
      <c r="B449" s="3"/>
      <c r="C449" s="3"/>
      <c r="D449" s="3"/>
      <c r="E449" s="3"/>
      <c r="F449" s="3"/>
      <c r="G449" s="3"/>
      <c r="H449" s="4"/>
      <c r="I449" s="5"/>
      <c r="J449" s="6"/>
      <c r="K449" s="3"/>
      <c r="L449" s="6"/>
      <c r="M449" s="6" t="str">
        <f>IF(OR(K449="",K449="Pending"),"",L449-J449)</f>
        <v> </v>
      </c>
      <c r="N449" s="6" t="str">
        <f>IF(M449="","",'Summary'!$B$4+SUM($M$2:M449))</f>
        <v> </v>
      </c>
    </row>
    <row r="450" spans="1:14">
      <c r="A450" s="2"/>
      <c r="B450" s="3"/>
      <c r="C450" s="3"/>
      <c r="D450" s="3"/>
      <c r="E450" s="3"/>
      <c r="F450" s="3"/>
      <c r="G450" s="3"/>
      <c r="H450" s="4"/>
      <c r="I450" s="5"/>
      <c r="J450" s="6"/>
      <c r="K450" s="3"/>
      <c r="L450" s="6"/>
      <c r="M450" s="6" t="str">
        <f>IF(OR(K450="",K450="Pending"),"",L450-J450)</f>
        <v> </v>
      </c>
      <c r="N450" s="6" t="str">
        <f>IF(M450="","",'Summary'!$B$4+SUM($M$2:M450))</f>
        <v> </v>
      </c>
    </row>
    <row r="451" spans="1:14">
      <c r="A451" s="2"/>
      <c r="B451" s="3"/>
      <c r="C451" s="3"/>
      <c r="D451" s="3"/>
      <c r="E451" s="3"/>
      <c r="F451" s="3"/>
      <c r="G451" s="3"/>
      <c r="H451" s="4"/>
      <c r="I451" s="5"/>
      <c r="J451" s="6"/>
      <c r="K451" s="3"/>
      <c r="L451" s="6"/>
      <c r="M451" s="6" t="str">
        <f>IF(OR(K451="",K451="Pending"),"",L451-J451)</f>
        <v> </v>
      </c>
      <c r="N451" s="6" t="str">
        <f>IF(M451="","",'Summary'!$B$4+SUM($M$2:M451))</f>
        <v> </v>
      </c>
    </row>
    <row r="452" spans="1:14">
      <c r="A452" s="2"/>
      <c r="B452" s="3"/>
      <c r="C452" s="3"/>
      <c r="D452" s="3"/>
      <c r="E452" s="3"/>
      <c r="F452" s="3"/>
      <c r="G452" s="3"/>
      <c r="H452" s="4"/>
      <c r="I452" s="5"/>
      <c r="J452" s="6"/>
      <c r="K452" s="3"/>
      <c r="L452" s="6"/>
      <c r="M452" s="6" t="str">
        <f>IF(OR(K452="",K452="Pending"),"",L452-J452)</f>
        <v> </v>
      </c>
      <c r="N452" s="6" t="str">
        <f>IF(M452="","",'Summary'!$B$4+SUM($M$2:M452))</f>
        <v> </v>
      </c>
    </row>
    <row r="453" spans="1:14">
      <c r="A453" s="2"/>
      <c r="B453" s="3"/>
      <c r="C453" s="3"/>
      <c r="D453" s="3"/>
      <c r="E453" s="3"/>
      <c r="F453" s="3"/>
      <c r="G453" s="3"/>
      <c r="H453" s="4"/>
      <c r="I453" s="5"/>
      <c r="J453" s="6"/>
      <c r="K453" s="3"/>
      <c r="L453" s="6"/>
      <c r="M453" s="6" t="str">
        <f>IF(OR(K453="",K453="Pending"),"",L453-J453)</f>
        <v> </v>
      </c>
      <c r="N453" s="6" t="str">
        <f>IF(M453="","",'Summary'!$B$4+SUM($M$2:M453))</f>
        <v> </v>
      </c>
    </row>
    <row r="454" spans="1:14">
      <c r="A454" s="2"/>
      <c r="B454" s="3"/>
      <c r="C454" s="3"/>
      <c r="D454" s="3"/>
      <c r="E454" s="3"/>
      <c r="F454" s="3"/>
      <c r="G454" s="3"/>
      <c r="H454" s="4"/>
      <c r="I454" s="5"/>
      <c r="J454" s="6"/>
      <c r="K454" s="3"/>
      <c r="L454" s="6"/>
      <c r="M454" s="6" t="str">
        <f>IF(OR(K454="",K454="Pending"),"",L454-J454)</f>
        <v> </v>
      </c>
      <c r="N454" s="6" t="str">
        <f>IF(M454="","",'Summary'!$B$4+SUM($M$2:M454))</f>
        <v> </v>
      </c>
    </row>
    <row r="455" spans="1:14">
      <c r="A455" s="2"/>
      <c r="B455" s="3"/>
      <c r="C455" s="3"/>
      <c r="D455" s="3"/>
      <c r="E455" s="3"/>
      <c r="F455" s="3"/>
      <c r="G455" s="3"/>
      <c r="H455" s="4"/>
      <c r="I455" s="5"/>
      <c r="J455" s="6"/>
      <c r="K455" s="3"/>
      <c r="L455" s="6"/>
      <c r="M455" s="6" t="str">
        <f>IF(OR(K455="",K455="Pending"),"",L455-J455)</f>
        <v> </v>
      </c>
      <c r="N455" s="6" t="str">
        <f>IF(M455="","",'Summary'!$B$4+SUM($M$2:M455))</f>
        <v> </v>
      </c>
    </row>
    <row r="456" spans="1:14">
      <c r="A456" s="2"/>
      <c r="B456" s="3"/>
      <c r="C456" s="3"/>
      <c r="D456" s="3"/>
      <c r="E456" s="3"/>
      <c r="F456" s="3"/>
      <c r="G456" s="3"/>
      <c r="H456" s="4"/>
      <c r="I456" s="5"/>
      <c r="J456" s="6"/>
      <c r="K456" s="3"/>
      <c r="L456" s="6"/>
      <c r="M456" s="6" t="str">
        <f>IF(OR(K456="",K456="Pending"),"",L456-J456)</f>
        <v> </v>
      </c>
      <c r="N456" s="6" t="str">
        <f>IF(M456="","",'Summary'!$B$4+SUM($M$2:M456))</f>
        <v> </v>
      </c>
    </row>
    <row r="457" spans="1:14">
      <c r="A457" s="2"/>
      <c r="B457" s="3"/>
      <c r="C457" s="3"/>
      <c r="D457" s="3"/>
      <c r="E457" s="3"/>
      <c r="F457" s="3"/>
      <c r="G457" s="3"/>
      <c r="H457" s="4"/>
      <c r="I457" s="5"/>
      <c r="J457" s="6"/>
      <c r="K457" s="3"/>
      <c r="L457" s="6"/>
      <c r="M457" s="6" t="str">
        <f>IF(OR(K457="",K457="Pending"),"",L457-J457)</f>
        <v> </v>
      </c>
      <c r="N457" s="6" t="str">
        <f>IF(M457="","",'Summary'!$B$4+SUM($M$2:M457))</f>
        <v> </v>
      </c>
    </row>
    <row r="458" spans="1:14">
      <c r="A458" s="2"/>
      <c r="B458" s="3"/>
      <c r="C458" s="3"/>
      <c r="D458" s="3"/>
      <c r="E458" s="3"/>
      <c r="F458" s="3"/>
      <c r="G458" s="3"/>
      <c r="H458" s="4"/>
      <c r="I458" s="5"/>
      <c r="J458" s="6"/>
      <c r="K458" s="3"/>
      <c r="L458" s="6"/>
      <c r="M458" s="6" t="str">
        <f>IF(OR(K458="",K458="Pending"),"",L458-J458)</f>
        <v> </v>
      </c>
      <c r="N458" s="6" t="str">
        <f>IF(M458="","",'Summary'!$B$4+SUM($M$2:M458))</f>
        <v> </v>
      </c>
    </row>
    <row r="459" spans="1:14">
      <c r="A459" s="2"/>
      <c r="B459" s="3"/>
      <c r="C459" s="3"/>
      <c r="D459" s="3"/>
      <c r="E459" s="3"/>
      <c r="F459" s="3"/>
      <c r="G459" s="3"/>
      <c r="H459" s="4"/>
      <c r="I459" s="5"/>
      <c r="J459" s="6"/>
      <c r="K459" s="3"/>
      <c r="L459" s="6"/>
      <c r="M459" s="6" t="str">
        <f>IF(OR(K459="",K459="Pending"),"",L459-J459)</f>
        <v> </v>
      </c>
      <c r="N459" s="6" t="str">
        <f>IF(M459="","",'Summary'!$B$4+SUM($M$2:M459))</f>
        <v> </v>
      </c>
    </row>
    <row r="460" spans="1:14">
      <c r="A460" s="2"/>
      <c r="B460" s="3"/>
      <c r="C460" s="3"/>
      <c r="D460" s="3"/>
      <c r="E460" s="3"/>
      <c r="F460" s="3"/>
      <c r="G460" s="3"/>
      <c r="H460" s="4"/>
      <c r="I460" s="5"/>
      <c r="J460" s="6"/>
      <c r="K460" s="3"/>
      <c r="L460" s="6"/>
      <c r="M460" s="6" t="str">
        <f>IF(OR(K460="",K460="Pending"),"",L460-J460)</f>
        <v> </v>
      </c>
      <c r="N460" s="6" t="str">
        <f>IF(M460="","",'Summary'!$B$4+SUM($M$2:M460))</f>
        <v> </v>
      </c>
    </row>
    <row r="461" spans="1:14">
      <c r="A461" s="2"/>
      <c r="B461" s="3"/>
      <c r="C461" s="3"/>
      <c r="D461" s="3"/>
      <c r="E461" s="3"/>
      <c r="F461" s="3"/>
      <c r="G461" s="3"/>
      <c r="H461" s="4"/>
      <c r="I461" s="5"/>
      <c r="J461" s="6"/>
      <c r="K461" s="3"/>
      <c r="L461" s="6"/>
      <c r="M461" s="6" t="str">
        <f>IF(OR(K461="",K461="Pending"),"",L461-J461)</f>
        <v> </v>
      </c>
      <c r="N461" s="6" t="str">
        <f>IF(M461="","",'Summary'!$B$4+SUM($M$2:M461))</f>
        <v> </v>
      </c>
    </row>
    <row r="462" spans="1:14">
      <c r="A462" s="2"/>
      <c r="B462" s="3"/>
      <c r="C462" s="3"/>
      <c r="D462" s="3"/>
      <c r="E462" s="3"/>
      <c r="F462" s="3"/>
      <c r="G462" s="3"/>
      <c r="H462" s="4"/>
      <c r="I462" s="5"/>
      <c r="J462" s="6"/>
      <c r="K462" s="3"/>
      <c r="L462" s="6"/>
      <c r="M462" s="6" t="str">
        <f>IF(OR(K462="",K462="Pending"),"",L462-J462)</f>
        <v> </v>
      </c>
      <c r="N462" s="6" t="str">
        <f>IF(M462="","",'Summary'!$B$4+SUM($M$2:M462))</f>
        <v> </v>
      </c>
    </row>
    <row r="463" spans="1:14">
      <c r="A463" s="2"/>
      <c r="B463" s="3"/>
      <c r="C463" s="3"/>
      <c r="D463" s="3"/>
      <c r="E463" s="3"/>
      <c r="F463" s="3"/>
      <c r="G463" s="3"/>
      <c r="H463" s="4"/>
      <c r="I463" s="5"/>
      <c r="J463" s="6"/>
      <c r="K463" s="3"/>
      <c r="L463" s="6"/>
      <c r="M463" s="6" t="str">
        <f>IF(OR(K463="",K463="Pending"),"",L463-J463)</f>
        <v> </v>
      </c>
      <c r="N463" s="6" t="str">
        <f>IF(M463="","",'Summary'!$B$4+SUM($M$2:M463))</f>
        <v> </v>
      </c>
    </row>
    <row r="464" spans="1:14">
      <c r="A464" s="2"/>
      <c r="B464" s="3"/>
      <c r="C464" s="3"/>
      <c r="D464" s="3"/>
      <c r="E464" s="3"/>
      <c r="F464" s="3"/>
      <c r="G464" s="3"/>
      <c r="H464" s="4"/>
      <c r="I464" s="5"/>
      <c r="J464" s="6"/>
      <c r="K464" s="3"/>
      <c r="L464" s="6"/>
      <c r="M464" s="6" t="str">
        <f>IF(OR(K464="",K464="Pending"),"",L464-J464)</f>
        <v> </v>
      </c>
      <c r="N464" s="6" t="str">
        <f>IF(M464="","",'Summary'!$B$4+SUM($M$2:M464))</f>
        <v> </v>
      </c>
    </row>
    <row r="465" spans="1:14">
      <c r="A465" s="2"/>
      <c r="B465" s="3"/>
      <c r="C465" s="3"/>
      <c r="D465" s="3"/>
      <c r="E465" s="3"/>
      <c r="F465" s="3"/>
      <c r="G465" s="3"/>
      <c r="H465" s="4"/>
      <c r="I465" s="5"/>
      <c r="J465" s="6"/>
      <c r="K465" s="3"/>
      <c r="L465" s="6"/>
      <c r="M465" s="6" t="str">
        <f>IF(OR(K465="",K465="Pending"),"",L465-J465)</f>
        <v> </v>
      </c>
      <c r="N465" s="6" t="str">
        <f>IF(M465="","",'Summary'!$B$4+SUM($M$2:M465))</f>
        <v> </v>
      </c>
    </row>
    <row r="466" spans="1:14">
      <c r="A466" s="2"/>
      <c r="B466" s="3"/>
      <c r="C466" s="3"/>
      <c r="D466" s="3"/>
      <c r="E466" s="3"/>
      <c r="F466" s="3"/>
      <c r="G466" s="3"/>
      <c r="H466" s="4"/>
      <c r="I466" s="5"/>
      <c r="J466" s="6"/>
      <c r="K466" s="3"/>
      <c r="L466" s="6"/>
      <c r="M466" s="6" t="str">
        <f>IF(OR(K466="",K466="Pending"),"",L466-J466)</f>
        <v> </v>
      </c>
      <c r="N466" s="6" t="str">
        <f>IF(M466="","",'Summary'!$B$4+SUM($M$2:M466))</f>
        <v> </v>
      </c>
    </row>
    <row r="467" spans="1:14">
      <c r="A467" s="2"/>
      <c r="B467" s="3"/>
      <c r="C467" s="3"/>
      <c r="D467" s="3"/>
      <c r="E467" s="3"/>
      <c r="F467" s="3"/>
      <c r="G467" s="3"/>
      <c r="H467" s="4"/>
      <c r="I467" s="5"/>
      <c r="J467" s="6"/>
      <c r="K467" s="3"/>
      <c r="L467" s="6"/>
      <c r="M467" s="6" t="str">
        <f>IF(OR(K467="",K467="Pending"),"",L467-J467)</f>
        <v> </v>
      </c>
      <c r="N467" s="6" t="str">
        <f>IF(M467="","",'Summary'!$B$4+SUM($M$2:M467))</f>
        <v> </v>
      </c>
    </row>
    <row r="468" spans="1:14">
      <c r="A468" s="2"/>
      <c r="B468" s="3"/>
      <c r="C468" s="3"/>
      <c r="D468" s="3"/>
      <c r="E468" s="3"/>
      <c r="F468" s="3"/>
      <c r="G468" s="3"/>
      <c r="H468" s="4"/>
      <c r="I468" s="5"/>
      <c r="J468" s="6"/>
      <c r="K468" s="3"/>
      <c r="L468" s="6"/>
      <c r="M468" s="6" t="str">
        <f>IF(OR(K468="",K468="Pending"),"",L468-J468)</f>
        <v> </v>
      </c>
      <c r="N468" s="6" t="str">
        <f>IF(M468="","",'Summary'!$B$4+SUM($M$2:M468))</f>
        <v> </v>
      </c>
    </row>
    <row r="469" spans="1:14">
      <c r="A469" s="2"/>
      <c r="B469" s="3"/>
      <c r="C469" s="3"/>
      <c r="D469" s="3"/>
      <c r="E469" s="3"/>
      <c r="F469" s="3"/>
      <c r="G469" s="3"/>
      <c r="H469" s="4"/>
      <c r="I469" s="5"/>
      <c r="J469" s="6"/>
      <c r="K469" s="3"/>
      <c r="L469" s="6"/>
      <c r="M469" s="6" t="str">
        <f>IF(OR(K469="",K469="Pending"),"",L469-J469)</f>
        <v> </v>
      </c>
      <c r="N469" s="6" t="str">
        <f>IF(M469="","",'Summary'!$B$4+SUM($M$2:M469))</f>
        <v> </v>
      </c>
    </row>
    <row r="470" spans="1:14">
      <c r="A470" s="2"/>
      <c r="B470" s="3"/>
      <c r="C470" s="3"/>
      <c r="D470" s="3"/>
      <c r="E470" s="3"/>
      <c r="F470" s="3"/>
      <c r="G470" s="3"/>
      <c r="H470" s="4"/>
      <c r="I470" s="5"/>
      <c r="J470" s="6"/>
      <c r="K470" s="3"/>
      <c r="L470" s="6"/>
      <c r="M470" s="6" t="str">
        <f>IF(OR(K470="",K470="Pending"),"",L470-J470)</f>
        <v> </v>
      </c>
      <c r="N470" s="6" t="str">
        <f>IF(M470="","",'Summary'!$B$4+SUM($M$2:M470))</f>
        <v> </v>
      </c>
    </row>
    <row r="471" spans="1:14">
      <c r="A471" s="2"/>
      <c r="B471" s="3"/>
      <c r="C471" s="3"/>
      <c r="D471" s="3"/>
      <c r="E471" s="3"/>
      <c r="F471" s="3"/>
      <c r="G471" s="3"/>
      <c r="H471" s="4"/>
      <c r="I471" s="5"/>
      <c r="J471" s="6"/>
      <c r="K471" s="3"/>
      <c r="L471" s="6"/>
      <c r="M471" s="6" t="str">
        <f>IF(OR(K471="",K471="Pending"),"",L471-J471)</f>
        <v> </v>
      </c>
      <c r="N471" s="6" t="str">
        <f>IF(M471="","",'Summary'!$B$4+SUM($M$2:M471))</f>
        <v> </v>
      </c>
    </row>
    <row r="472" spans="1:14">
      <c r="A472" s="2"/>
      <c r="B472" s="3"/>
      <c r="C472" s="3"/>
      <c r="D472" s="3"/>
      <c r="E472" s="3"/>
      <c r="F472" s="3"/>
      <c r="G472" s="3"/>
      <c r="H472" s="4"/>
      <c r="I472" s="5"/>
      <c r="J472" s="6"/>
      <c r="K472" s="3"/>
      <c r="L472" s="6"/>
      <c r="M472" s="6" t="str">
        <f>IF(OR(K472="",K472="Pending"),"",L472-J472)</f>
        <v> </v>
      </c>
      <c r="N472" s="6" t="str">
        <f>IF(M472="","",'Summary'!$B$4+SUM($M$2:M472))</f>
        <v> </v>
      </c>
    </row>
    <row r="473" spans="1:14">
      <c r="A473" s="2"/>
      <c r="B473" s="3"/>
      <c r="C473" s="3"/>
      <c r="D473" s="3"/>
      <c r="E473" s="3"/>
      <c r="F473" s="3"/>
      <c r="G473" s="3"/>
      <c r="H473" s="4"/>
      <c r="I473" s="5"/>
      <c r="J473" s="6"/>
      <c r="K473" s="3"/>
      <c r="L473" s="6"/>
      <c r="M473" s="6" t="str">
        <f>IF(OR(K473="",K473="Pending"),"",L473-J473)</f>
        <v> </v>
      </c>
      <c r="N473" s="6" t="str">
        <f>IF(M473="","",'Summary'!$B$4+SUM($M$2:M473))</f>
        <v> </v>
      </c>
    </row>
    <row r="474" spans="1:14">
      <c r="A474" s="2"/>
      <c r="B474" s="3"/>
      <c r="C474" s="3"/>
      <c r="D474" s="3"/>
      <c r="E474" s="3"/>
      <c r="F474" s="3"/>
      <c r="G474" s="3"/>
      <c r="H474" s="4"/>
      <c r="I474" s="5"/>
      <c r="J474" s="6"/>
      <c r="K474" s="3"/>
      <c r="L474" s="6"/>
      <c r="M474" s="6" t="str">
        <f>IF(OR(K474="",K474="Pending"),"",L474-J474)</f>
        <v> </v>
      </c>
      <c r="N474" s="6" t="str">
        <f>IF(M474="","",'Summary'!$B$4+SUM($M$2:M474))</f>
        <v> </v>
      </c>
    </row>
    <row r="475" spans="1:14">
      <c r="A475" s="2"/>
      <c r="B475" s="3"/>
      <c r="C475" s="3"/>
      <c r="D475" s="3"/>
      <c r="E475" s="3"/>
      <c r="F475" s="3"/>
      <c r="G475" s="3"/>
      <c r="H475" s="4"/>
      <c r="I475" s="5"/>
      <c r="J475" s="6"/>
      <c r="K475" s="3"/>
      <c r="L475" s="6"/>
      <c r="M475" s="6" t="str">
        <f>IF(OR(K475="",K475="Pending"),"",L475-J475)</f>
        <v> </v>
      </c>
      <c r="N475" s="6" t="str">
        <f>IF(M475="","",'Summary'!$B$4+SUM($M$2:M475))</f>
        <v> </v>
      </c>
    </row>
    <row r="476" spans="1:14">
      <c r="A476" s="2"/>
      <c r="B476" s="3"/>
      <c r="C476" s="3"/>
      <c r="D476" s="3"/>
      <c r="E476" s="3"/>
      <c r="F476" s="3"/>
      <c r="G476" s="3"/>
      <c r="H476" s="4"/>
      <c r="I476" s="5"/>
      <c r="J476" s="6"/>
      <c r="K476" s="3"/>
      <c r="L476" s="6"/>
      <c r="M476" s="6" t="str">
        <f>IF(OR(K476="",K476="Pending"),"",L476-J476)</f>
        <v> </v>
      </c>
      <c r="N476" s="6" t="str">
        <f>IF(M476="","",'Summary'!$B$4+SUM($M$2:M476))</f>
        <v> </v>
      </c>
    </row>
    <row r="477" spans="1:14">
      <c r="A477" s="2"/>
      <c r="B477" s="3"/>
      <c r="C477" s="3"/>
      <c r="D477" s="3"/>
      <c r="E477" s="3"/>
      <c r="F477" s="3"/>
      <c r="G477" s="3"/>
      <c r="H477" s="4"/>
      <c r="I477" s="5"/>
      <c r="J477" s="6"/>
      <c r="K477" s="3"/>
      <c r="L477" s="6"/>
      <c r="M477" s="6" t="str">
        <f>IF(OR(K477="",K477="Pending"),"",L477-J477)</f>
        <v> </v>
      </c>
      <c r="N477" s="6" t="str">
        <f>IF(M477="","",'Summary'!$B$4+SUM($M$2:M477))</f>
        <v> </v>
      </c>
    </row>
    <row r="478" spans="1:14">
      <c r="A478" s="2"/>
      <c r="B478" s="3"/>
      <c r="C478" s="3"/>
      <c r="D478" s="3"/>
      <c r="E478" s="3"/>
      <c r="F478" s="3"/>
      <c r="G478" s="3"/>
      <c r="H478" s="4"/>
      <c r="I478" s="5"/>
      <c r="J478" s="6"/>
      <c r="K478" s="3"/>
      <c r="L478" s="6"/>
      <c r="M478" s="6" t="str">
        <f>IF(OR(K478="",K478="Pending"),"",L478-J478)</f>
        <v> </v>
      </c>
      <c r="N478" s="6" t="str">
        <f>IF(M478="","",'Summary'!$B$4+SUM($M$2:M478))</f>
        <v> </v>
      </c>
    </row>
    <row r="479" spans="1:14">
      <c r="A479" s="2"/>
      <c r="B479" s="3"/>
      <c r="C479" s="3"/>
      <c r="D479" s="3"/>
      <c r="E479" s="3"/>
      <c r="F479" s="3"/>
      <c r="G479" s="3"/>
      <c r="H479" s="4"/>
      <c r="I479" s="5"/>
      <c r="J479" s="6"/>
      <c r="K479" s="3"/>
      <c r="L479" s="6"/>
      <c r="M479" s="6" t="str">
        <f>IF(OR(K479="",K479="Pending"),"",L479-J479)</f>
        <v> </v>
      </c>
      <c r="N479" s="6" t="str">
        <f>IF(M479="","",'Summary'!$B$4+SUM($M$2:M479))</f>
        <v> </v>
      </c>
    </row>
    <row r="480" spans="1:14">
      <c r="A480" s="2"/>
      <c r="B480" s="3"/>
      <c r="C480" s="3"/>
      <c r="D480" s="3"/>
      <c r="E480" s="3"/>
      <c r="F480" s="3"/>
      <c r="G480" s="3"/>
      <c r="H480" s="4"/>
      <c r="I480" s="5"/>
      <c r="J480" s="6"/>
      <c r="K480" s="3"/>
      <c r="L480" s="6"/>
      <c r="M480" s="6" t="str">
        <f>IF(OR(K480="",K480="Pending"),"",L480-J480)</f>
        <v> </v>
      </c>
      <c r="N480" s="6" t="str">
        <f>IF(M480="","",'Summary'!$B$4+SUM($M$2:M480))</f>
        <v> </v>
      </c>
    </row>
    <row r="481" spans="1:14">
      <c r="A481" s="2"/>
      <c r="B481" s="3"/>
      <c r="C481" s="3"/>
      <c r="D481" s="3"/>
      <c r="E481" s="3"/>
      <c r="F481" s="3"/>
      <c r="G481" s="3"/>
      <c r="H481" s="4"/>
      <c r="I481" s="5"/>
      <c r="J481" s="6"/>
      <c r="K481" s="3"/>
      <c r="L481" s="6"/>
      <c r="M481" s="6" t="str">
        <f>IF(OR(K481="",K481="Pending"),"",L481-J481)</f>
        <v> </v>
      </c>
      <c r="N481" s="6" t="str">
        <f>IF(M481="","",'Summary'!$B$4+SUM($M$2:M481))</f>
        <v> </v>
      </c>
    </row>
    <row r="482" spans="1:14">
      <c r="A482" s="2"/>
      <c r="B482" s="3"/>
      <c r="C482" s="3"/>
      <c r="D482" s="3"/>
      <c r="E482" s="3"/>
      <c r="F482" s="3"/>
      <c r="G482" s="3"/>
      <c r="H482" s="4"/>
      <c r="I482" s="5"/>
      <c r="J482" s="6"/>
      <c r="K482" s="3"/>
      <c r="L482" s="6"/>
      <c r="M482" s="6" t="str">
        <f>IF(OR(K482="",K482="Pending"),"",L482-J482)</f>
        <v> </v>
      </c>
      <c r="N482" s="6" t="str">
        <f>IF(M482="","",'Summary'!$B$4+SUM($M$2:M482))</f>
        <v> </v>
      </c>
    </row>
    <row r="483" spans="1:14">
      <c r="A483" s="2"/>
      <c r="B483" s="3"/>
      <c r="C483" s="3"/>
      <c r="D483" s="3"/>
      <c r="E483" s="3"/>
      <c r="F483" s="3"/>
      <c r="G483" s="3"/>
      <c r="H483" s="4"/>
      <c r="I483" s="5"/>
      <c r="J483" s="6"/>
      <c r="K483" s="3"/>
      <c r="L483" s="6"/>
      <c r="M483" s="6" t="str">
        <f>IF(OR(K483="",K483="Pending"),"",L483-J483)</f>
        <v> </v>
      </c>
      <c r="N483" s="6" t="str">
        <f>IF(M483="","",'Summary'!$B$4+SUM($M$2:M483))</f>
        <v> </v>
      </c>
    </row>
    <row r="484" spans="1:14">
      <c r="A484" s="2"/>
      <c r="B484" s="3"/>
      <c r="C484" s="3"/>
      <c r="D484" s="3"/>
      <c r="E484" s="3"/>
      <c r="F484" s="3"/>
      <c r="G484" s="3"/>
      <c r="H484" s="4"/>
      <c r="I484" s="5"/>
      <c r="J484" s="6"/>
      <c r="K484" s="3"/>
      <c r="L484" s="6"/>
      <c r="M484" s="6" t="str">
        <f>IF(OR(K484="",K484="Pending"),"",L484-J484)</f>
        <v> </v>
      </c>
      <c r="N484" s="6" t="str">
        <f>IF(M484="","",'Summary'!$B$4+SUM($M$2:M484))</f>
        <v> </v>
      </c>
    </row>
    <row r="485" spans="1:14">
      <c r="A485" s="2"/>
      <c r="B485" s="3"/>
      <c r="C485" s="3"/>
      <c r="D485" s="3"/>
      <c r="E485" s="3"/>
      <c r="F485" s="3"/>
      <c r="G485" s="3"/>
      <c r="H485" s="4"/>
      <c r="I485" s="5"/>
      <c r="J485" s="6"/>
      <c r="K485" s="3"/>
      <c r="L485" s="6"/>
      <c r="M485" s="6" t="str">
        <f>IF(OR(K485="",K485="Pending"),"",L485-J485)</f>
        <v> </v>
      </c>
      <c r="N485" s="6" t="str">
        <f>IF(M485="","",'Summary'!$B$4+SUM($M$2:M485))</f>
        <v> </v>
      </c>
    </row>
    <row r="486" spans="1:14">
      <c r="A486" s="2"/>
      <c r="B486" s="3"/>
      <c r="C486" s="3"/>
      <c r="D486" s="3"/>
      <c r="E486" s="3"/>
      <c r="F486" s="3"/>
      <c r="G486" s="3"/>
      <c r="H486" s="4"/>
      <c r="I486" s="5"/>
      <c r="J486" s="6"/>
      <c r="K486" s="3"/>
      <c r="L486" s="6"/>
      <c r="M486" s="6" t="str">
        <f>IF(OR(K486="",K486="Pending"),"",L486-J486)</f>
        <v> </v>
      </c>
      <c r="N486" s="6" t="str">
        <f>IF(M486="","",'Summary'!$B$4+SUM($M$2:M486))</f>
        <v> </v>
      </c>
    </row>
    <row r="487" spans="1:14">
      <c r="A487" s="2"/>
      <c r="B487" s="3"/>
      <c r="C487" s="3"/>
      <c r="D487" s="3"/>
      <c r="E487" s="3"/>
      <c r="F487" s="3"/>
      <c r="G487" s="3"/>
      <c r="H487" s="4"/>
      <c r="I487" s="5"/>
      <c r="J487" s="6"/>
      <c r="K487" s="3"/>
      <c r="L487" s="6"/>
      <c r="M487" s="6" t="str">
        <f>IF(OR(K487="",K487="Pending"),"",L487-J487)</f>
        <v> </v>
      </c>
      <c r="N487" s="6" t="str">
        <f>IF(M487="","",'Summary'!$B$4+SUM($M$2:M487))</f>
        <v> </v>
      </c>
    </row>
    <row r="488" spans="1:14">
      <c r="A488" s="2"/>
      <c r="B488" s="3"/>
      <c r="C488" s="3"/>
      <c r="D488" s="3"/>
      <c r="E488" s="3"/>
      <c r="F488" s="3"/>
      <c r="G488" s="3"/>
      <c r="H488" s="4"/>
      <c r="I488" s="5"/>
      <c r="J488" s="6"/>
      <c r="K488" s="3"/>
      <c r="L488" s="6"/>
      <c r="M488" s="6" t="str">
        <f>IF(OR(K488="",K488="Pending"),"",L488-J488)</f>
        <v> </v>
      </c>
      <c r="N488" s="6" t="str">
        <f>IF(M488="","",'Summary'!$B$4+SUM($M$2:M488))</f>
        <v> </v>
      </c>
    </row>
    <row r="489" spans="1:14">
      <c r="A489" s="2"/>
      <c r="B489" s="3"/>
      <c r="C489" s="3"/>
      <c r="D489" s="3"/>
      <c r="E489" s="3"/>
      <c r="F489" s="3"/>
      <c r="G489" s="3"/>
      <c r="H489" s="4"/>
      <c r="I489" s="5"/>
      <c r="J489" s="6"/>
      <c r="K489" s="3"/>
      <c r="L489" s="6"/>
      <c r="M489" s="6" t="str">
        <f>IF(OR(K489="",K489="Pending"),"",L489-J489)</f>
        <v> </v>
      </c>
      <c r="N489" s="6" t="str">
        <f>IF(M489="","",'Summary'!$B$4+SUM($M$2:M489))</f>
        <v> </v>
      </c>
    </row>
    <row r="490" spans="1:14">
      <c r="A490" s="2"/>
      <c r="B490" s="3"/>
      <c r="C490" s="3"/>
      <c r="D490" s="3"/>
      <c r="E490" s="3"/>
      <c r="F490" s="3"/>
      <c r="G490" s="3"/>
      <c r="H490" s="4"/>
      <c r="I490" s="5"/>
      <c r="J490" s="6"/>
      <c r="K490" s="3"/>
      <c r="L490" s="6"/>
      <c r="M490" s="6" t="str">
        <f>IF(OR(K490="",K490="Pending"),"",L490-J490)</f>
        <v> </v>
      </c>
      <c r="N490" s="6" t="str">
        <f>IF(M490="","",'Summary'!$B$4+SUM($M$2:M490))</f>
        <v> </v>
      </c>
    </row>
    <row r="491" spans="1:14">
      <c r="A491" s="2"/>
      <c r="B491" s="3"/>
      <c r="C491" s="3"/>
      <c r="D491" s="3"/>
      <c r="E491" s="3"/>
      <c r="F491" s="3"/>
      <c r="G491" s="3"/>
      <c r="H491" s="4"/>
      <c r="I491" s="5"/>
      <c r="J491" s="6"/>
      <c r="K491" s="3"/>
      <c r="L491" s="6"/>
      <c r="M491" s="6" t="str">
        <f>IF(OR(K491="",K491="Pending"),"",L491-J491)</f>
        <v> </v>
      </c>
      <c r="N491" s="6" t="str">
        <f>IF(M491="","",'Summary'!$B$4+SUM($M$2:M491))</f>
        <v> </v>
      </c>
    </row>
    <row r="492" spans="1:14">
      <c r="A492" s="2"/>
      <c r="B492" s="3"/>
      <c r="C492" s="3"/>
      <c r="D492" s="3"/>
      <c r="E492" s="3"/>
      <c r="F492" s="3"/>
      <c r="G492" s="3"/>
      <c r="H492" s="4"/>
      <c r="I492" s="5"/>
      <c r="J492" s="6"/>
      <c r="K492" s="3"/>
      <c r="L492" s="6"/>
      <c r="M492" s="6" t="str">
        <f>IF(OR(K492="",K492="Pending"),"",L492-J492)</f>
        <v> </v>
      </c>
      <c r="N492" s="6" t="str">
        <f>IF(M492="","",'Summary'!$B$4+SUM($M$2:M492))</f>
        <v> </v>
      </c>
    </row>
    <row r="493" spans="1:14">
      <c r="A493" s="2"/>
      <c r="B493" s="3"/>
      <c r="C493" s="3"/>
      <c r="D493" s="3"/>
      <c r="E493" s="3"/>
      <c r="F493" s="3"/>
      <c r="G493" s="3"/>
      <c r="H493" s="4"/>
      <c r="I493" s="5"/>
      <c r="J493" s="6"/>
      <c r="K493" s="3"/>
      <c r="L493" s="6"/>
      <c r="M493" s="6" t="str">
        <f>IF(OR(K493="",K493="Pending"),"",L493-J493)</f>
        <v> </v>
      </c>
      <c r="N493" s="6" t="str">
        <f>IF(M493="","",'Summary'!$B$4+SUM($M$2:M493))</f>
        <v> </v>
      </c>
    </row>
    <row r="494" spans="1:14">
      <c r="A494" s="2"/>
      <c r="B494" s="3"/>
      <c r="C494" s="3"/>
      <c r="D494" s="3"/>
      <c r="E494" s="3"/>
      <c r="F494" s="3"/>
      <c r="G494" s="3"/>
      <c r="H494" s="4"/>
      <c r="I494" s="5"/>
      <c r="J494" s="6"/>
      <c r="K494" s="3"/>
      <c r="L494" s="6"/>
      <c r="M494" s="6" t="str">
        <f>IF(OR(K494="",K494="Pending"),"",L494-J494)</f>
        <v> </v>
      </c>
      <c r="N494" s="6" t="str">
        <f>IF(M494="","",'Summary'!$B$4+SUM($M$2:M494))</f>
        <v> </v>
      </c>
    </row>
    <row r="495" spans="1:14">
      <c r="A495" s="2"/>
      <c r="B495" s="3"/>
      <c r="C495" s="3"/>
      <c r="D495" s="3"/>
      <c r="E495" s="3"/>
      <c r="F495" s="3"/>
      <c r="G495" s="3"/>
      <c r="H495" s="4"/>
      <c r="I495" s="5"/>
      <c r="J495" s="6"/>
      <c r="K495" s="3"/>
      <c r="L495" s="6"/>
      <c r="M495" s="6" t="str">
        <f>IF(OR(K495="",K495="Pending"),"",L495-J495)</f>
        <v> </v>
      </c>
      <c r="N495" s="6" t="str">
        <f>IF(M495="","",'Summary'!$B$4+SUM($M$2:M495))</f>
        <v> </v>
      </c>
    </row>
    <row r="496" spans="1:14">
      <c r="A496" s="2"/>
      <c r="B496" s="3"/>
      <c r="C496" s="3"/>
      <c r="D496" s="3"/>
      <c r="E496" s="3"/>
      <c r="F496" s="3"/>
      <c r="G496" s="3"/>
      <c r="H496" s="4"/>
      <c r="I496" s="5"/>
      <c r="J496" s="6"/>
      <c r="K496" s="3"/>
      <c r="L496" s="6"/>
      <c r="M496" s="6" t="str">
        <f>IF(OR(K496="",K496="Pending"),"",L496-J496)</f>
        <v> </v>
      </c>
      <c r="N496" s="6" t="str">
        <f>IF(M496="","",'Summary'!$B$4+SUM($M$2:M496))</f>
        <v> </v>
      </c>
    </row>
    <row r="497" spans="1:14">
      <c r="A497" s="2"/>
      <c r="B497" s="3"/>
      <c r="C497" s="3"/>
      <c r="D497" s="3"/>
      <c r="E497" s="3"/>
      <c r="F497" s="3"/>
      <c r="G497" s="3"/>
      <c r="H497" s="4"/>
      <c r="I497" s="5"/>
      <c r="J497" s="6"/>
      <c r="K497" s="3"/>
      <c r="L497" s="6"/>
      <c r="M497" s="6" t="str">
        <f>IF(OR(K497="",K497="Pending"),"",L497-J497)</f>
        <v> </v>
      </c>
      <c r="N497" s="6" t="str">
        <f>IF(M497="","",'Summary'!$B$4+SUM($M$2:M497))</f>
        <v> </v>
      </c>
    </row>
    <row r="498" spans="1:14">
      <c r="A498" s="2"/>
      <c r="B498" s="3"/>
      <c r="C498" s="3"/>
      <c r="D498" s="3"/>
      <c r="E498" s="3"/>
      <c r="F498" s="3"/>
      <c r="G498" s="3"/>
      <c r="H498" s="4"/>
      <c r="I498" s="5"/>
      <c r="J498" s="6"/>
      <c r="K498" s="3"/>
      <c r="L498" s="6"/>
      <c r="M498" s="6" t="str">
        <f>IF(OR(K498="",K498="Pending"),"",L498-J498)</f>
        <v> </v>
      </c>
      <c r="N498" s="6" t="str">
        <f>IF(M498="","",'Summary'!$B$4+SUM($M$2:M498))</f>
        <v> </v>
      </c>
    </row>
    <row r="499" spans="1:14">
      <c r="A499" s="2"/>
      <c r="B499" s="3"/>
      <c r="C499" s="3"/>
      <c r="D499" s="3"/>
      <c r="E499" s="3"/>
      <c r="F499" s="3"/>
      <c r="G499" s="3"/>
      <c r="H499" s="4"/>
      <c r="I499" s="5"/>
      <c r="J499" s="6"/>
      <c r="K499" s="3"/>
      <c r="L499" s="6"/>
      <c r="M499" s="6" t="str">
        <f>IF(OR(K499="",K499="Pending"),"",L499-J499)</f>
        <v> </v>
      </c>
      <c r="N499" s="6" t="str">
        <f>IF(M499="","",'Summary'!$B$4+SUM($M$2:M499))</f>
        <v> </v>
      </c>
    </row>
    <row r="500" spans="1:14">
      <c r="A500" s="2"/>
      <c r="B500" s="3"/>
      <c r="C500" s="3"/>
      <c r="D500" s="3"/>
      <c r="E500" s="3"/>
      <c r="F500" s="3"/>
      <c r="G500" s="3"/>
      <c r="H500" s="4"/>
      <c r="I500" s="5"/>
      <c r="J500" s="6"/>
      <c r="K500" s="3"/>
      <c r="L500" s="6"/>
      <c r="M500" s="6" t="str">
        <f>IF(OR(K500="",K500="Pending"),"",L500-J500)</f>
        <v> </v>
      </c>
      <c r="N500" s="6" t="str">
        <f>IF(M500="","",'Summary'!$B$4+SUM($M$2:M500))</f>
        <v> </v>
      </c>
    </row>
    <row r="501" spans="1:14">
      <c r="A501" s="2"/>
      <c r="B501" s="3"/>
      <c r="C501" s="3"/>
      <c r="D501" s="3"/>
      <c r="E501" s="3"/>
      <c r="F501" s="3"/>
      <c r="G501" s="3"/>
      <c r="H501" s="4"/>
      <c r="I501" s="5"/>
      <c r="J501" s="6"/>
      <c r="K501" s="3"/>
      <c r="L501" s="6"/>
      <c r="M501" s="6" t="str">
        <f>IF(OR(K501="",K501="Pending"),"",L501-J501)</f>
        <v> </v>
      </c>
      <c r="N501" s="6" t="str">
        <f>IF(M501="","",'Summary'!$B$4+SUM($M$2:M501))</f>
        <v> </v>
      </c>
    </row>
    <row r="502" spans="1:14">
      <c r="A502" s="2"/>
      <c r="B502" s="3"/>
      <c r="C502" s="3"/>
      <c r="D502" s="3"/>
      <c r="E502" s="3"/>
      <c r="F502" s="3"/>
      <c r="G502" s="3"/>
      <c r="H502" s="4"/>
      <c r="I502" s="5"/>
      <c r="J502" s="6"/>
      <c r="K502" s="3"/>
      <c r="L502" s="6"/>
      <c r="M502" s="6" t="str">
        <f>IF(OR(K502="",K502="Pending"),"",L502-J502)</f>
        <v> </v>
      </c>
      <c r="N502" s="6" t="str">
        <f>IF(M502="","",'Summary'!$B$4+SUM($M$2:M502))</f>
        <v> </v>
      </c>
    </row>
    <row r="503" spans="1:14">
      <c r="A503" s="2"/>
      <c r="B503" s="3"/>
      <c r="C503" s="3"/>
      <c r="D503" s="3"/>
      <c r="E503" s="3"/>
      <c r="F503" s="3"/>
      <c r="G503" s="3"/>
      <c r="H503" s="4"/>
      <c r="I503" s="5"/>
      <c r="J503" s="6"/>
      <c r="K503" s="3"/>
      <c r="L503" s="6"/>
      <c r="M503" s="6" t="str">
        <f>IF(OR(K503="",K503="Pending"),"",L503-J503)</f>
        <v> </v>
      </c>
      <c r="N503" s="6" t="str">
        <f>IF(M503="","",'Summary'!$B$4+SUM($M$2:M503))</f>
        <v> </v>
      </c>
    </row>
    <row r="504" spans="1:14">
      <c r="A504" s="2"/>
      <c r="B504" s="3"/>
      <c r="C504" s="3"/>
      <c r="D504" s="3"/>
      <c r="E504" s="3"/>
      <c r="F504" s="3"/>
      <c r="G504" s="3"/>
      <c r="H504" s="4"/>
      <c r="I504" s="5"/>
      <c r="J504" s="6"/>
      <c r="K504" s="3"/>
      <c r="L504" s="6"/>
      <c r="M504" s="6" t="str">
        <f>IF(OR(K504="",K504="Pending"),"",L504-J504)</f>
        <v> </v>
      </c>
      <c r="N504" s="6" t="str">
        <f>IF(M504="","",'Summary'!$B$4+SUM($M$2:M504))</f>
        <v> </v>
      </c>
    </row>
    <row r="505" spans="1:14">
      <c r="A505" s="2"/>
      <c r="B505" s="3"/>
      <c r="C505" s="3"/>
      <c r="D505" s="3"/>
      <c r="E505" s="3"/>
      <c r="F505" s="3"/>
      <c r="G505" s="3"/>
      <c r="H505" s="4"/>
      <c r="I505" s="5"/>
      <c r="J505" s="6"/>
      <c r="K505" s="3"/>
      <c r="L505" s="6"/>
      <c r="M505" s="6" t="str">
        <f>IF(OR(K505="",K505="Pending"),"",L505-J505)</f>
        <v> </v>
      </c>
      <c r="N505" s="6" t="str">
        <f>IF(M505="","",'Summary'!$B$4+SUM($M$2:M505))</f>
        <v> </v>
      </c>
    </row>
    <row r="506" spans="1:14">
      <c r="A506" s="2"/>
      <c r="B506" s="3"/>
      <c r="C506" s="3"/>
      <c r="D506" s="3"/>
      <c r="E506" s="3"/>
      <c r="F506" s="3"/>
      <c r="G506" s="3"/>
      <c r="H506" s="4"/>
      <c r="I506" s="5"/>
      <c r="J506" s="6"/>
      <c r="K506" s="3"/>
      <c r="L506" s="6"/>
      <c r="M506" s="6" t="str">
        <f>IF(OR(K506="",K506="Pending"),"",L506-J506)</f>
        <v> </v>
      </c>
      <c r="N506" s="6" t="str">
        <f>IF(M506="","",'Summary'!$B$4+SUM($M$2:M506))</f>
        <v> </v>
      </c>
    </row>
    <row r="507" spans="1:14">
      <c r="A507" s="2"/>
      <c r="B507" s="3"/>
      <c r="C507" s="3"/>
      <c r="D507" s="3"/>
      <c r="E507" s="3"/>
      <c r="F507" s="3"/>
      <c r="G507" s="3"/>
      <c r="H507" s="4"/>
      <c r="I507" s="5"/>
      <c r="J507" s="6"/>
      <c r="K507" s="3"/>
      <c r="L507" s="6"/>
      <c r="M507" s="6" t="str">
        <f>IF(OR(K507="",K507="Pending"),"",L507-J507)</f>
        <v> </v>
      </c>
      <c r="N507" s="6" t="str">
        <f>IF(M507="","",'Summary'!$B$4+SUM($M$2:M507))</f>
        <v> </v>
      </c>
    </row>
    <row r="508" spans="1:14">
      <c r="A508" s="2"/>
      <c r="B508" s="3"/>
      <c r="C508" s="3"/>
      <c r="D508" s="3"/>
      <c r="E508" s="3"/>
      <c r="F508" s="3"/>
      <c r="G508" s="3"/>
      <c r="H508" s="4"/>
      <c r="I508" s="5"/>
      <c r="J508" s="6"/>
      <c r="K508" s="3"/>
      <c r="L508" s="6"/>
      <c r="M508" s="6" t="str">
        <f>IF(OR(K508="",K508="Pending"),"",L508-J508)</f>
        <v> </v>
      </c>
      <c r="N508" s="6" t="str">
        <f>IF(M508="","",'Summary'!$B$4+SUM($M$2:M508))</f>
        <v> </v>
      </c>
    </row>
    <row r="509" spans="1:14">
      <c r="A509" s="2"/>
      <c r="B509" s="3"/>
      <c r="C509" s="3"/>
      <c r="D509" s="3"/>
      <c r="E509" s="3"/>
      <c r="F509" s="3"/>
      <c r="G509" s="3"/>
      <c r="H509" s="4"/>
      <c r="I509" s="5"/>
      <c r="J509" s="6"/>
      <c r="K509" s="3"/>
      <c r="L509" s="6"/>
      <c r="M509" s="6" t="str">
        <f>IF(OR(K509="",K509="Pending"),"",L509-J509)</f>
        <v> </v>
      </c>
      <c r="N509" s="6" t="str">
        <f>IF(M509="","",'Summary'!$B$4+SUM($M$2:M509))</f>
        <v> </v>
      </c>
    </row>
    <row r="510" spans="1:14">
      <c r="A510" s="2"/>
      <c r="B510" s="3"/>
      <c r="C510" s="3"/>
      <c r="D510" s="3"/>
      <c r="E510" s="3"/>
      <c r="F510" s="3"/>
      <c r="G510" s="3"/>
      <c r="H510" s="4"/>
      <c r="I510" s="5"/>
      <c r="J510" s="6"/>
      <c r="K510" s="3"/>
      <c r="L510" s="6"/>
      <c r="M510" s="6" t="str">
        <f>IF(OR(K510="",K510="Pending"),"",L510-J510)</f>
        <v> </v>
      </c>
      <c r="N510" s="6" t="str">
        <f>IF(M510="","",'Summary'!$B$4+SUM($M$2:M510))</f>
        <v> </v>
      </c>
    </row>
    <row r="511" spans="1:14">
      <c r="A511" s="2"/>
      <c r="B511" s="3"/>
      <c r="C511" s="3"/>
      <c r="D511" s="3"/>
      <c r="E511" s="3"/>
      <c r="F511" s="3"/>
      <c r="G511" s="3"/>
      <c r="H511" s="4"/>
      <c r="I511" s="5"/>
      <c r="J511" s="6"/>
      <c r="K511" s="3"/>
      <c r="L511" s="6"/>
      <c r="M511" s="6" t="str">
        <f>IF(OR(K511="",K511="Pending"),"",L511-J511)</f>
        <v> </v>
      </c>
      <c r="N511" s="6" t="str">
        <f>IF(M511="","",'Summary'!$B$4+SUM($M$2:M511))</f>
        <v> </v>
      </c>
    </row>
    <row r="512" spans="1:14">
      <c r="A512" s="2"/>
      <c r="B512" s="3"/>
      <c r="C512" s="3"/>
      <c r="D512" s="3"/>
      <c r="E512" s="3"/>
      <c r="F512" s="3"/>
      <c r="G512" s="3"/>
      <c r="H512" s="4"/>
      <c r="I512" s="5"/>
      <c r="J512" s="6"/>
      <c r="K512" s="3"/>
      <c r="L512" s="6"/>
      <c r="M512" s="6" t="str">
        <f>IF(OR(K512="",K512="Pending"),"",L512-J512)</f>
        <v> </v>
      </c>
      <c r="N512" s="6" t="str">
        <f>IF(M512="","",'Summary'!$B$4+SUM($M$2:M512))</f>
        <v> </v>
      </c>
    </row>
    <row r="513" spans="1:14">
      <c r="A513" s="2"/>
      <c r="B513" s="3"/>
      <c r="C513" s="3"/>
      <c r="D513" s="3"/>
      <c r="E513" s="3"/>
      <c r="F513" s="3"/>
      <c r="G513" s="3"/>
      <c r="H513" s="4"/>
      <c r="I513" s="5"/>
      <c r="J513" s="6"/>
      <c r="K513" s="3"/>
      <c r="L513" s="6"/>
      <c r="M513" s="6" t="str">
        <f>IF(OR(K513="",K513="Pending"),"",L513-J513)</f>
        <v> </v>
      </c>
      <c r="N513" s="6" t="str">
        <f>IF(M513="","",'Summary'!$B$4+SUM($M$2:M513))</f>
        <v> </v>
      </c>
    </row>
    <row r="514" spans="1:14">
      <c r="A514" s="2"/>
      <c r="B514" s="3"/>
      <c r="C514" s="3"/>
      <c r="D514" s="3"/>
      <c r="E514" s="3"/>
      <c r="F514" s="3"/>
      <c r="G514" s="3"/>
      <c r="H514" s="4"/>
      <c r="I514" s="5"/>
      <c r="J514" s="6"/>
      <c r="K514" s="3"/>
      <c r="L514" s="6"/>
      <c r="M514" s="6" t="str">
        <f>IF(OR(K514="",K514="Pending"),"",L514-J514)</f>
        <v> </v>
      </c>
      <c r="N514" s="6" t="str">
        <f>IF(M514="","",'Summary'!$B$4+SUM($M$2:M514))</f>
        <v> </v>
      </c>
    </row>
    <row r="515" spans="1:14">
      <c r="A515" s="2"/>
      <c r="B515" s="3"/>
      <c r="C515" s="3"/>
      <c r="D515" s="3"/>
      <c r="E515" s="3"/>
      <c r="F515" s="3"/>
      <c r="G515" s="3"/>
      <c r="H515" s="4"/>
      <c r="I515" s="5"/>
      <c r="J515" s="6"/>
      <c r="K515" s="3"/>
      <c r="L515" s="6"/>
      <c r="M515" s="6" t="str">
        <f>IF(OR(K515="",K515="Pending"),"",L515-J515)</f>
        <v> </v>
      </c>
      <c r="N515" s="6" t="str">
        <f>IF(M515="","",'Summary'!$B$4+SUM($M$2:M515))</f>
        <v> </v>
      </c>
    </row>
    <row r="516" spans="1:14">
      <c r="A516" s="2"/>
      <c r="B516" s="3"/>
      <c r="C516" s="3"/>
      <c r="D516" s="3"/>
      <c r="E516" s="3"/>
      <c r="F516" s="3"/>
      <c r="G516" s="3"/>
      <c r="H516" s="4"/>
      <c r="I516" s="5"/>
      <c r="J516" s="6"/>
      <c r="K516" s="3"/>
      <c r="L516" s="6"/>
      <c r="M516" s="6" t="str">
        <f>IF(OR(K516="",K516="Pending"),"",L516-J516)</f>
        <v> </v>
      </c>
      <c r="N516" s="6" t="str">
        <f>IF(M516="","",'Summary'!$B$4+SUM($M$2:M516))</f>
        <v> </v>
      </c>
    </row>
    <row r="517" spans="1:14">
      <c r="A517" s="2"/>
      <c r="B517" s="3"/>
      <c r="C517" s="3"/>
      <c r="D517" s="3"/>
      <c r="E517" s="3"/>
      <c r="F517" s="3"/>
      <c r="G517" s="3"/>
      <c r="H517" s="4"/>
      <c r="I517" s="5"/>
      <c r="J517" s="6"/>
      <c r="K517" s="3"/>
      <c r="L517" s="6"/>
      <c r="M517" s="6" t="str">
        <f>IF(OR(K517="",K517="Pending"),"",L517-J517)</f>
        <v> </v>
      </c>
      <c r="N517" s="6" t="str">
        <f>IF(M517="","",'Summary'!$B$4+SUM($M$2:M517))</f>
        <v> </v>
      </c>
    </row>
    <row r="518" spans="1:14">
      <c r="A518" s="2"/>
      <c r="B518" s="3"/>
      <c r="C518" s="3"/>
      <c r="D518" s="3"/>
      <c r="E518" s="3"/>
      <c r="F518" s="3"/>
      <c r="G518" s="3"/>
      <c r="H518" s="4"/>
      <c r="I518" s="5"/>
      <c r="J518" s="6"/>
      <c r="K518" s="3"/>
      <c r="L518" s="6"/>
      <c r="M518" s="6" t="str">
        <f>IF(OR(K518="",K518="Pending"),"",L518-J518)</f>
        <v> </v>
      </c>
      <c r="N518" s="6" t="str">
        <f>IF(M518="","",'Summary'!$B$4+SUM($M$2:M518))</f>
        <v> </v>
      </c>
    </row>
    <row r="519" spans="1:14">
      <c r="A519" s="2"/>
      <c r="B519" s="3"/>
      <c r="C519" s="3"/>
      <c r="D519" s="3"/>
      <c r="E519" s="3"/>
      <c r="F519" s="3"/>
      <c r="G519" s="3"/>
      <c r="H519" s="4"/>
      <c r="I519" s="5"/>
      <c r="J519" s="6"/>
      <c r="K519" s="3"/>
      <c r="L519" s="6"/>
      <c r="M519" s="6" t="str">
        <f>IF(OR(K519="",K519="Pending"),"",L519-J519)</f>
        <v> </v>
      </c>
      <c r="N519" s="6" t="str">
        <f>IF(M519="","",'Summary'!$B$4+SUM($M$2:M519))</f>
        <v> </v>
      </c>
    </row>
    <row r="520" spans="1:14">
      <c r="A520" s="2"/>
      <c r="B520" s="3"/>
      <c r="C520" s="3"/>
      <c r="D520" s="3"/>
      <c r="E520" s="3"/>
      <c r="F520" s="3"/>
      <c r="G520" s="3"/>
      <c r="H520" s="4"/>
      <c r="I520" s="5"/>
      <c r="J520" s="6"/>
      <c r="K520" s="3"/>
      <c r="L520" s="6"/>
      <c r="M520" s="6" t="str">
        <f>IF(OR(K520="",K520="Pending"),"",L520-J520)</f>
        <v> </v>
      </c>
      <c r="N520" s="6" t="str">
        <f>IF(M520="","",'Summary'!$B$4+SUM($M$2:M520))</f>
        <v> </v>
      </c>
    </row>
    <row r="521" spans="1:14">
      <c r="A521" s="2"/>
      <c r="B521" s="3"/>
      <c r="C521" s="3"/>
      <c r="D521" s="3"/>
      <c r="E521" s="3"/>
      <c r="F521" s="3"/>
      <c r="G521" s="3"/>
      <c r="H521" s="4"/>
      <c r="I521" s="5"/>
      <c r="J521" s="6"/>
      <c r="K521" s="3"/>
      <c r="L521" s="6"/>
      <c r="M521" s="6" t="str">
        <f>IF(OR(K521="",K521="Pending"),"",L521-J521)</f>
        <v> </v>
      </c>
      <c r="N521" s="6" t="str">
        <f>IF(M521="","",'Summary'!$B$4+SUM($M$2:M521))</f>
        <v> </v>
      </c>
    </row>
    <row r="522" spans="1:14">
      <c r="A522" s="2"/>
      <c r="B522" s="3"/>
      <c r="C522" s="3"/>
      <c r="D522" s="3"/>
      <c r="E522" s="3"/>
      <c r="F522" s="3"/>
      <c r="G522" s="3"/>
      <c r="H522" s="4"/>
      <c r="I522" s="5"/>
      <c r="J522" s="6"/>
      <c r="K522" s="3"/>
      <c r="L522" s="6"/>
      <c r="M522" s="6" t="str">
        <f>IF(OR(K522="",K522="Pending"),"",L522-J522)</f>
        <v> </v>
      </c>
      <c r="N522" s="6" t="str">
        <f>IF(M522="","",'Summary'!$B$4+SUM($M$2:M522))</f>
        <v> </v>
      </c>
    </row>
    <row r="523" spans="1:14">
      <c r="A523" s="2"/>
      <c r="B523" s="3"/>
      <c r="C523" s="3"/>
      <c r="D523" s="3"/>
      <c r="E523" s="3"/>
      <c r="F523" s="3"/>
      <c r="G523" s="3"/>
      <c r="H523" s="4"/>
      <c r="I523" s="5"/>
      <c r="J523" s="6"/>
      <c r="K523" s="3"/>
      <c r="L523" s="6"/>
      <c r="M523" s="6" t="str">
        <f>IF(OR(K523="",K523="Pending"),"",L523-J523)</f>
        <v> </v>
      </c>
      <c r="N523" s="6" t="str">
        <f>IF(M523="","",'Summary'!$B$4+SUM($M$2:M523))</f>
        <v> </v>
      </c>
    </row>
    <row r="524" spans="1:14">
      <c r="A524" s="2"/>
      <c r="B524" s="3"/>
      <c r="C524" s="3"/>
      <c r="D524" s="3"/>
      <c r="E524" s="3"/>
      <c r="F524" s="3"/>
      <c r="G524" s="3"/>
      <c r="H524" s="4"/>
      <c r="I524" s="5"/>
      <c r="J524" s="6"/>
      <c r="K524" s="3"/>
      <c r="L524" s="6"/>
      <c r="M524" s="6" t="str">
        <f>IF(OR(K524="",K524="Pending"),"",L524-J524)</f>
        <v> </v>
      </c>
      <c r="N524" s="6" t="str">
        <f>IF(M524="","",'Summary'!$B$4+SUM($M$2:M524))</f>
        <v> </v>
      </c>
    </row>
    <row r="525" spans="1:14">
      <c r="A525" s="2"/>
      <c r="B525" s="3"/>
      <c r="C525" s="3"/>
      <c r="D525" s="3"/>
      <c r="E525" s="3"/>
      <c r="F525" s="3"/>
      <c r="G525" s="3"/>
      <c r="H525" s="4"/>
      <c r="I525" s="5"/>
      <c r="J525" s="6"/>
      <c r="K525" s="3"/>
      <c r="L525" s="6"/>
      <c r="M525" s="6" t="str">
        <f>IF(OR(K525="",K525="Pending"),"",L525-J525)</f>
        <v> </v>
      </c>
      <c r="N525" s="6" t="str">
        <f>IF(M525="","",'Summary'!$B$4+SUM($M$2:M525))</f>
        <v> </v>
      </c>
    </row>
    <row r="526" spans="1:14">
      <c r="A526" s="2"/>
      <c r="B526" s="3"/>
      <c r="C526" s="3"/>
      <c r="D526" s="3"/>
      <c r="E526" s="3"/>
      <c r="F526" s="3"/>
      <c r="G526" s="3"/>
      <c r="H526" s="4"/>
      <c r="I526" s="5"/>
      <c r="J526" s="6"/>
      <c r="K526" s="3"/>
      <c r="L526" s="6"/>
      <c r="M526" s="6" t="str">
        <f>IF(OR(K526="",K526="Pending"),"",L526-J526)</f>
        <v> </v>
      </c>
      <c r="N526" s="6" t="str">
        <f>IF(M526="","",'Summary'!$B$4+SUM($M$2:M526))</f>
        <v> </v>
      </c>
    </row>
    <row r="527" spans="1:14">
      <c r="A527" s="2"/>
      <c r="B527" s="3"/>
      <c r="C527" s="3"/>
      <c r="D527" s="3"/>
      <c r="E527" s="3"/>
      <c r="F527" s="3"/>
      <c r="G527" s="3"/>
      <c r="H527" s="4"/>
      <c r="I527" s="5"/>
      <c r="J527" s="6"/>
      <c r="K527" s="3"/>
      <c r="L527" s="6"/>
      <c r="M527" s="6" t="str">
        <f>IF(OR(K527="",K527="Pending"),"",L527-J527)</f>
        <v> </v>
      </c>
      <c r="N527" s="6" t="str">
        <f>IF(M527="","",'Summary'!$B$4+SUM($M$2:M527))</f>
        <v> </v>
      </c>
    </row>
    <row r="528" spans="1:14">
      <c r="A528" s="2"/>
      <c r="B528" s="3"/>
      <c r="C528" s="3"/>
      <c r="D528" s="3"/>
      <c r="E528" s="3"/>
      <c r="F528" s="3"/>
      <c r="G528" s="3"/>
      <c r="H528" s="4"/>
      <c r="I528" s="5"/>
      <c r="J528" s="6"/>
      <c r="K528" s="3"/>
      <c r="L528" s="6"/>
      <c r="M528" s="6" t="str">
        <f>IF(OR(K528="",K528="Pending"),"",L528-J528)</f>
        <v> </v>
      </c>
      <c r="N528" s="6" t="str">
        <f>IF(M528="","",'Summary'!$B$4+SUM($M$2:M528))</f>
        <v> </v>
      </c>
    </row>
    <row r="529" spans="1:14">
      <c r="A529" s="2"/>
      <c r="B529" s="3"/>
      <c r="C529" s="3"/>
      <c r="D529" s="3"/>
      <c r="E529" s="3"/>
      <c r="F529" s="3"/>
      <c r="G529" s="3"/>
      <c r="H529" s="4"/>
      <c r="I529" s="5"/>
      <c r="J529" s="6"/>
      <c r="K529" s="3"/>
      <c r="L529" s="6"/>
      <c r="M529" s="6" t="str">
        <f>IF(OR(K529="",K529="Pending"),"",L529-J529)</f>
        <v> </v>
      </c>
      <c r="N529" s="6" t="str">
        <f>IF(M529="","",'Summary'!$B$4+SUM($M$2:M529))</f>
        <v> </v>
      </c>
    </row>
    <row r="530" spans="1:14">
      <c r="A530" s="2"/>
      <c r="B530" s="3"/>
      <c r="C530" s="3"/>
      <c r="D530" s="3"/>
      <c r="E530" s="3"/>
      <c r="F530" s="3"/>
      <c r="G530" s="3"/>
      <c r="H530" s="4"/>
      <c r="I530" s="5"/>
      <c r="J530" s="6"/>
      <c r="K530" s="3"/>
      <c r="L530" s="6"/>
      <c r="M530" s="6" t="str">
        <f>IF(OR(K530="",K530="Pending"),"",L530-J530)</f>
        <v> </v>
      </c>
      <c r="N530" s="6" t="str">
        <f>IF(M530="","",'Summary'!$B$4+SUM($M$2:M530))</f>
        <v> </v>
      </c>
    </row>
    <row r="531" spans="1:14">
      <c r="A531" s="2"/>
      <c r="B531" s="3"/>
      <c r="C531" s="3"/>
      <c r="D531" s="3"/>
      <c r="E531" s="3"/>
      <c r="F531" s="3"/>
      <c r="G531" s="3"/>
      <c r="H531" s="4"/>
      <c r="I531" s="5"/>
      <c r="J531" s="6"/>
      <c r="K531" s="3"/>
      <c r="L531" s="6"/>
      <c r="M531" s="6" t="str">
        <f>IF(OR(K531="",K531="Pending"),"",L531-J531)</f>
        <v> </v>
      </c>
      <c r="N531" s="6" t="str">
        <f>IF(M531="","",'Summary'!$B$4+SUM($M$2:M531))</f>
        <v> </v>
      </c>
    </row>
    <row r="532" spans="1:14">
      <c r="A532" s="2"/>
      <c r="B532" s="3"/>
      <c r="C532" s="3"/>
      <c r="D532" s="3"/>
      <c r="E532" s="3"/>
      <c r="F532" s="3"/>
      <c r="G532" s="3"/>
      <c r="H532" s="4"/>
      <c r="I532" s="5"/>
      <c r="J532" s="6"/>
      <c r="K532" s="3"/>
      <c r="L532" s="6"/>
      <c r="M532" s="6" t="str">
        <f>IF(OR(K532="",K532="Pending"),"",L532-J532)</f>
        <v> </v>
      </c>
      <c r="N532" s="6" t="str">
        <f>IF(M532="","",'Summary'!$B$4+SUM($M$2:M532))</f>
        <v> </v>
      </c>
    </row>
    <row r="533" spans="1:14">
      <c r="A533" s="2"/>
      <c r="B533" s="3"/>
      <c r="C533" s="3"/>
      <c r="D533" s="3"/>
      <c r="E533" s="3"/>
      <c r="F533" s="3"/>
      <c r="G533" s="3"/>
      <c r="H533" s="4"/>
      <c r="I533" s="5"/>
      <c r="J533" s="6"/>
      <c r="K533" s="3"/>
      <c r="L533" s="6"/>
      <c r="M533" s="6" t="str">
        <f>IF(OR(K533="",K533="Pending"),"",L533-J533)</f>
        <v> </v>
      </c>
      <c r="N533" s="6" t="str">
        <f>IF(M533="","",'Summary'!$B$4+SUM($M$2:M533))</f>
        <v> </v>
      </c>
    </row>
    <row r="534" spans="1:14">
      <c r="A534" s="2"/>
      <c r="B534" s="3"/>
      <c r="C534" s="3"/>
      <c r="D534" s="3"/>
      <c r="E534" s="3"/>
      <c r="F534" s="3"/>
      <c r="G534" s="3"/>
      <c r="H534" s="4"/>
      <c r="I534" s="5"/>
      <c r="J534" s="6"/>
      <c r="K534" s="3"/>
      <c r="L534" s="6"/>
      <c r="M534" s="6" t="str">
        <f>IF(OR(K534="",K534="Pending"),"",L534-J534)</f>
        <v> </v>
      </c>
      <c r="N534" s="6" t="str">
        <f>IF(M534="","",'Summary'!$B$4+SUM($M$2:M534))</f>
        <v> </v>
      </c>
    </row>
    <row r="535" spans="1:14">
      <c r="A535" s="2"/>
      <c r="B535" s="3"/>
      <c r="C535" s="3"/>
      <c r="D535" s="3"/>
      <c r="E535" s="3"/>
      <c r="F535" s="3"/>
      <c r="G535" s="3"/>
      <c r="H535" s="4"/>
      <c r="I535" s="5"/>
      <c r="J535" s="6"/>
      <c r="K535" s="3"/>
      <c r="L535" s="6"/>
      <c r="M535" s="6" t="str">
        <f>IF(OR(K535="",K535="Pending"),"",L535-J535)</f>
        <v> </v>
      </c>
      <c r="N535" s="6" t="str">
        <f>IF(M535="","",'Summary'!$B$4+SUM($M$2:M535))</f>
        <v> </v>
      </c>
    </row>
    <row r="536" spans="1:14">
      <c r="A536" s="2"/>
      <c r="B536" s="3"/>
      <c r="C536" s="3"/>
      <c r="D536" s="3"/>
      <c r="E536" s="3"/>
      <c r="F536" s="3"/>
      <c r="G536" s="3"/>
      <c r="H536" s="4"/>
      <c r="I536" s="5"/>
      <c r="J536" s="6"/>
      <c r="K536" s="3"/>
      <c r="L536" s="6"/>
      <c r="M536" s="6" t="str">
        <f>IF(OR(K536="",K536="Pending"),"",L536-J536)</f>
        <v> </v>
      </c>
      <c r="N536" s="6" t="str">
        <f>IF(M536="","",'Summary'!$B$4+SUM($M$2:M536))</f>
        <v> </v>
      </c>
    </row>
    <row r="537" spans="1:14">
      <c r="A537" s="2"/>
      <c r="B537" s="3"/>
      <c r="C537" s="3"/>
      <c r="D537" s="3"/>
      <c r="E537" s="3"/>
      <c r="F537" s="3"/>
      <c r="G537" s="3"/>
      <c r="H537" s="4"/>
      <c r="I537" s="5"/>
      <c r="J537" s="6"/>
      <c r="K537" s="3"/>
      <c r="L537" s="6"/>
      <c r="M537" s="6" t="str">
        <f>IF(OR(K537="",K537="Pending"),"",L537-J537)</f>
        <v> </v>
      </c>
      <c r="N537" s="6" t="str">
        <f>IF(M537="","",'Summary'!$B$4+SUM($M$2:M537))</f>
        <v> </v>
      </c>
    </row>
    <row r="538" spans="1:14">
      <c r="A538" s="2"/>
      <c r="B538" s="3"/>
      <c r="C538" s="3"/>
      <c r="D538" s="3"/>
      <c r="E538" s="3"/>
      <c r="F538" s="3"/>
      <c r="G538" s="3"/>
      <c r="H538" s="4"/>
      <c r="I538" s="5"/>
      <c r="J538" s="6"/>
      <c r="K538" s="3"/>
      <c r="L538" s="6"/>
      <c r="M538" s="6" t="str">
        <f>IF(OR(K538="",K538="Pending"),"",L538-J538)</f>
        <v> </v>
      </c>
      <c r="N538" s="6" t="str">
        <f>IF(M538="","",'Summary'!$B$4+SUM($M$2:M538))</f>
        <v> </v>
      </c>
    </row>
    <row r="539" spans="1:14">
      <c r="A539" s="2"/>
      <c r="B539" s="3"/>
      <c r="C539" s="3"/>
      <c r="D539" s="3"/>
      <c r="E539" s="3"/>
      <c r="F539" s="3"/>
      <c r="G539" s="3"/>
      <c r="H539" s="4"/>
      <c r="I539" s="5"/>
      <c r="J539" s="6"/>
      <c r="K539" s="3"/>
      <c r="L539" s="6"/>
      <c r="M539" s="6" t="str">
        <f>IF(OR(K539="",K539="Pending"),"",L539-J539)</f>
        <v> </v>
      </c>
      <c r="N539" s="6" t="str">
        <f>IF(M539="","",'Summary'!$B$4+SUM($M$2:M539))</f>
        <v> </v>
      </c>
    </row>
    <row r="540" spans="1:14">
      <c r="A540" s="2"/>
      <c r="B540" s="3"/>
      <c r="C540" s="3"/>
      <c r="D540" s="3"/>
      <c r="E540" s="3"/>
      <c r="F540" s="3"/>
      <c r="G540" s="3"/>
      <c r="H540" s="4"/>
      <c r="I540" s="5"/>
      <c r="J540" s="6"/>
      <c r="K540" s="3"/>
      <c r="L540" s="6"/>
      <c r="M540" s="6" t="str">
        <f>IF(OR(K540="",K540="Pending"),"",L540-J540)</f>
        <v> </v>
      </c>
      <c r="N540" s="6" t="str">
        <f>IF(M540="","",'Summary'!$B$4+SUM($M$2:M540))</f>
        <v> </v>
      </c>
    </row>
    <row r="541" spans="1:14">
      <c r="A541" s="2"/>
      <c r="B541" s="3"/>
      <c r="C541" s="3"/>
      <c r="D541" s="3"/>
      <c r="E541" s="3"/>
      <c r="F541" s="3"/>
      <c r="G541" s="3"/>
      <c r="H541" s="4"/>
      <c r="I541" s="5"/>
      <c r="J541" s="6"/>
      <c r="K541" s="3"/>
      <c r="L541" s="6"/>
      <c r="M541" s="6" t="str">
        <f>IF(OR(K541="",K541="Pending"),"",L541-J541)</f>
        <v> </v>
      </c>
      <c r="N541" s="6" t="str">
        <f>IF(M541="","",'Summary'!$B$4+SUM($M$2:M541))</f>
        <v> </v>
      </c>
    </row>
    <row r="542" spans="1:14">
      <c r="A542" s="2"/>
      <c r="B542" s="3"/>
      <c r="C542" s="3"/>
      <c r="D542" s="3"/>
      <c r="E542" s="3"/>
      <c r="F542" s="3"/>
      <c r="G542" s="3"/>
      <c r="H542" s="4"/>
      <c r="I542" s="5"/>
      <c r="J542" s="6"/>
      <c r="K542" s="3"/>
      <c r="L542" s="6"/>
      <c r="M542" s="6" t="str">
        <f>IF(OR(K542="",K542="Pending"),"",L542-J542)</f>
        <v> </v>
      </c>
      <c r="N542" s="6" t="str">
        <f>IF(M542="","",'Summary'!$B$4+SUM($M$2:M542))</f>
        <v> </v>
      </c>
    </row>
    <row r="543" spans="1:14">
      <c r="A543" s="2"/>
      <c r="B543" s="3"/>
      <c r="C543" s="3"/>
      <c r="D543" s="3"/>
      <c r="E543" s="3"/>
      <c r="F543" s="3"/>
      <c r="G543" s="3"/>
      <c r="H543" s="4"/>
      <c r="I543" s="5"/>
      <c r="J543" s="6"/>
      <c r="K543" s="3"/>
      <c r="L543" s="6"/>
      <c r="M543" s="6" t="str">
        <f>IF(OR(K543="",K543="Pending"),"",L543-J543)</f>
        <v> </v>
      </c>
      <c r="N543" s="6" t="str">
        <f>IF(M543="","",'Summary'!$B$4+SUM($M$2:M543))</f>
        <v> </v>
      </c>
    </row>
    <row r="544" spans="1:14">
      <c r="A544" s="2"/>
      <c r="B544" s="3"/>
      <c r="C544" s="3"/>
      <c r="D544" s="3"/>
      <c r="E544" s="3"/>
      <c r="F544" s="3"/>
      <c r="G544" s="3"/>
      <c r="H544" s="4"/>
      <c r="I544" s="5"/>
      <c r="J544" s="6"/>
      <c r="K544" s="3"/>
      <c r="L544" s="6"/>
      <c r="M544" s="6" t="str">
        <f>IF(OR(K544="",K544="Pending"),"",L544-J544)</f>
        <v> </v>
      </c>
      <c r="N544" s="6" t="str">
        <f>IF(M544="","",'Summary'!$B$4+SUM($M$2:M544))</f>
        <v> </v>
      </c>
    </row>
    <row r="545" spans="1:14">
      <c r="A545" s="2"/>
      <c r="B545" s="3"/>
      <c r="C545" s="3"/>
      <c r="D545" s="3"/>
      <c r="E545" s="3"/>
      <c r="F545" s="3"/>
      <c r="G545" s="3"/>
      <c r="H545" s="4"/>
      <c r="I545" s="5"/>
      <c r="J545" s="6"/>
      <c r="K545" s="3"/>
      <c r="L545" s="6"/>
      <c r="M545" s="6" t="str">
        <f>IF(OR(K545="",K545="Pending"),"",L545-J545)</f>
        <v> </v>
      </c>
      <c r="N545" s="6" t="str">
        <f>IF(M545="","",'Summary'!$B$4+SUM($M$2:M545))</f>
        <v> </v>
      </c>
    </row>
    <row r="546" spans="1:14">
      <c r="A546" s="2"/>
      <c r="B546" s="3"/>
      <c r="C546" s="3"/>
      <c r="D546" s="3"/>
      <c r="E546" s="3"/>
      <c r="F546" s="3"/>
      <c r="G546" s="3"/>
      <c r="H546" s="4"/>
      <c r="I546" s="5"/>
      <c r="J546" s="6"/>
      <c r="K546" s="3"/>
      <c r="L546" s="6"/>
      <c r="M546" s="6" t="str">
        <f>IF(OR(K546="",K546="Pending"),"",L546-J546)</f>
        <v> </v>
      </c>
      <c r="N546" s="6" t="str">
        <f>IF(M546="","",'Summary'!$B$4+SUM($M$2:M546))</f>
        <v> </v>
      </c>
    </row>
    <row r="547" spans="1:14">
      <c r="A547" s="2"/>
      <c r="B547" s="3"/>
      <c r="C547" s="3"/>
      <c r="D547" s="3"/>
      <c r="E547" s="3"/>
      <c r="F547" s="3"/>
      <c r="G547" s="3"/>
      <c r="H547" s="4"/>
      <c r="I547" s="5"/>
      <c r="J547" s="6"/>
      <c r="K547" s="3"/>
      <c r="L547" s="6"/>
      <c r="M547" s="6" t="str">
        <f>IF(OR(K547="",K547="Pending"),"",L547-J547)</f>
        <v> </v>
      </c>
      <c r="N547" s="6" t="str">
        <f>IF(M547="","",'Summary'!$B$4+SUM($M$2:M547))</f>
        <v> </v>
      </c>
    </row>
    <row r="548" spans="1:14">
      <c r="A548" s="2"/>
      <c r="B548" s="3"/>
      <c r="C548" s="3"/>
      <c r="D548" s="3"/>
      <c r="E548" s="3"/>
      <c r="F548" s="3"/>
      <c r="G548" s="3"/>
      <c r="H548" s="4"/>
      <c r="I548" s="5"/>
      <c r="J548" s="6"/>
      <c r="K548" s="3"/>
      <c r="L548" s="6"/>
      <c r="M548" s="6" t="str">
        <f>IF(OR(K548="",K548="Pending"),"",L548-J548)</f>
        <v> </v>
      </c>
      <c r="N548" s="6" t="str">
        <f>IF(M548="","",'Summary'!$B$4+SUM($M$2:M548))</f>
        <v> </v>
      </c>
    </row>
    <row r="549" spans="1:14">
      <c r="A549" s="2"/>
      <c r="B549" s="3"/>
      <c r="C549" s="3"/>
      <c r="D549" s="3"/>
      <c r="E549" s="3"/>
      <c r="F549" s="3"/>
      <c r="G549" s="3"/>
      <c r="H549" s="4"/>
      <c r="I549" s="5"/>
      <c r="J549" s="6"/>
      <c r="K549" s="3"/>
      <c r="L549" s="6"/>
      <c r="M549" s="6" t="str">
        <f>IF(OR(K549="",K549="Pending"),"",L549-J549)</f>
        <v> </v>
      </c>
      <c r="N549" s="6" t="str">
        <f>IF(M549="","",'Summary'!$B$4+SUM($M$2:M549))</f>
        <v> </v>
      </c>
    </row>
    <row r="550" spans="1:14">
      <c r="A550" s="2"/>
      <c r="B550" s="3"/>
      <c r="C550" s="3"/>
      <c r="D550" s="3"/>
      <c r="E550" s="3"/>
      <c r="F550" s="3"/>
      <c r="G550" s="3"/>
      <c r="H550" s="4"/>
      <c r="I550" s="5"/>
      <c r="J550" s="6"/>
      <c r="K550" s="3"/>
      <c r="L550" s="6"/>
      <c r="M550" s="6" t="str">
        <f>IF(OR(K550="",K550="Pending"),"",L550-J550)</f>
        <v> </v>
      </c>
      <c r="N550" s="6" t="str">
        <f>IF(M550="","",'Summary'!$B$4+SUM($M$2:M550))</f>
        <v> </v>
      </c>
    </row>
    <row r="551" spans="1:14">
      <c r="A551" s="2"/>
      <c r="B551" s="3"/>
      <c r="C551" s="3"/>
      <c r="D551" s="3"/>
      <c r="E551" s="3"/>
      <c r="F551" s="3"/>
      <c r="G551" s="3"/>
      <c r="H551" s="4"/>
      <c r="I551" s="5"/>
      <c r="J551" s="6"/>
      <c r="K551" s="3"/>
      <c r="L551" s="6"/>
      <c r="M551" s="6" t="str">
        <f>IF(OR(K551="",K551="Pending"),"",L551-J551)</f>
        <v> </v>
      </c>
      <c r="N551" s="6" t="str">
        <f>IF(M551="","",'Summary'!$B$4+SUM($M$2:M551))</f>
        <v> </v>
      </c>
    </row>
    <row r="552" spans="1:14">
      <c r="A552" s="2"/>
      <c r="B552" s="3"/>
      <c r="C552" s="3"/>
      <c r="D552" s="3"/>
      <c r="E552" s="3"/>
      <c r="F552" s="3"/>
      <c r="G552" s="3"/>
      <c r="H552" s="4"/>
      <c r="I552" s="5"/>
      <c r="J552" s="6"/>
      <c r="K552" s="3"/>
      <c r="L552" s="6"/>
      <c r="M552" s="6" t="str">
        <f>IF(OR(K552="",K552="Pending"),"",L552-J552)</f>
        <v> </v>
      </c>
      <c r="N552" s="6" t="str">
        <f>IF(M552="","",'Summary'!$B$4+SUM($M$2:M552))</f>
        <v> </v>
      </c>
    </row>
    <row r="553" spans="1:14">
      <c r="A553" s="2"/>
      <c r="B553" s="3"/>
      <c r="C553" s="3"/>
      <c r="D553" s="3"/>
      <c r="E553" s="3"/>
      <c r="F553" s="3"/>
      <c r="G553" s="3"/>
      <c r="H553" s="4"/>
      <c r="I553" s="5"/>
      <c r="J553" s="6"/>
      <c r="K553" s="3"/>
      <c r="L553" s="6"/>
      <c r="M553" s="6" t="str">
        <f>IF(OR(K553="",K553="Pending"),"",L553-J553)</f>
        <v> </v>
      </c>
      <c r="N553" s="6" t="str">
        <f>IF(M553="","",'Summary'!$B$4+SUM($M$2:M553))</f>
        <v> </v>
      </c>
    </row>
    <row r="554" spans="1:14">
      <c r="A554" s="2"/>
      <c r="B554" s="3"/>
      <c r="C554" s="3"/>
      <c r="D554" s="3"/>
      <c r="E554" s="3"/>
      <c r="F554" s="3"/>
      <c r="G554" s="3"/>
      <c r="H554" s="4"/>
      <c r="I554" s="5"/>
      <c r="J554" s="6"/>
      <c r="K554" s="3"/>
      <c r="L554" s="6"/>
      <c r="M554" s="6" t="str">
        <f>IF(OR(K554="",K554="Pending"),"",L554-J554)</f>
        <v> </v>
      </c>
      <c r="N554" s="6" t="str">
        <f>IF(M554="","",'Summary'!$B$4+SUM($M$2:M554))</f>
        <v> </v>
      </c>
    </row>
    <row r="555" spans="1:14">
      <c r="A555" s="2"/>
      <c r="B555" s="3"/>
      <c r="C555" s="3"/>
      <c r="D555" s="3"/>
      <c r="E555" s="3"/>
      <c r="F555" s="3"/>
      <c r="G555" s="3"/>
      <c r="H555" s="4"/>
      <c r="I555" s="5"/>
      <c r="J555" s="6"/>
      <c r="K555" s="3"/>
      <c r="L555" s="6"/>
      <c r="M555" s="6" t="str">
        <f>IF(OR(K555="",K555="Pending"),"",L555-J555)</f>
        <v> </v>
      </c>
      <c r="N555" s="6" t="str">
        <f>IF(M555="","",'Summary'!$B$4+SUM($M$2:M555))</f>
        <v> </v>
      </c>
    </row>
    <row r="556" spans="1:14">
      <c r="A556" s="2"/>
      <c r="B556" s="3"/>
      <c r="C556" s="3"/>
      <c r="D556" s="3"/>
      <c r="E556" s="3"/>
      <c r="F556" s="3"/>
      <c r="G556" s="3"/>
      <c r="H556" s="4"/>
      <c r="I556" s="5"/>
      <c r="J556" s="6"/>
      <c r="K556" s="3"/>
      <c r="L556" s="6"/>
      <c r="M556" s="6" t="str">
        <f>IF(OR(K556="",K556="Pending"),"",L556-J556)</f>
        <v> </v>
      </c>
      <c r="N556" s="6" t="str">
        <f>IF(M556="","",'Summary'!$B$4+SUM($M$2:M556))</f>
        <v> </v>
      </c>
    </row>
    <row r="557" spans="1:14">
      <c r="A557" s="2"/>
      <c r="B557" s="3"/>
      <c r="C557" s="3"/>
      <c r="D557" s="3"/>
      <c r="E557" s="3"/>
      <c r="F557" s="3"/>
      <c r="G557" s="3"/>
      <c r="H557" s="4"/>
      <c r="I557" s="5"/>
      <c r="J557" s="6"/>
      <c r="K557" s="3"/>
      <c r="L557" s="6"/>
      <c r="M557" s="6" t="str">
        <f>IF(OR(K557="",K557="Pending"),"",L557-J557)</f>
        <v> </v>
      </c>
      <c r="N557" s="6" t="str">
        <f>IF(M557="","",'Summary'!$B$4+SUM($M$2:M557))</f>
        <v> </v>
      </c>
    </row>
    <row r="558" spans="1:14">
      <c r="A558" s="2"/>
      <c r="B558" s="3"/>
      <c r="C558" s="3"/>
      <c r="D558" s="3"/>
      <c r="E558" s="3"/>
      <c r="F558" s="3"/>
      <c r="G558" s="3"/>
      <c r="H558" s="4"/>
      <c r="I558" s="5"/>
      <c r="J558" s="6"/>
      <c r="K558" s="3"/>
      <c r="L558" s="6"/>
      <c r="M558" s="6" t="str">
        <f>IF(OR(K558="",K558="Pending"),"",L558-J558)</f>
        <v> </v>
      </c>
      <c r="N558" s="6" t="str">
        <f>IF(M558="","",'Summary'!$B$4+SUM($M$2:M558))</f>
        <v> </v>
      </c>
    </row>
    <row r="559" spans="1:14">
      <c r="A559" s="2"/>
      <c r="B559" s="3"/>
      <c r="C559" s="3"/>
      <c r="D559" s="3"/>
      <c r="E559" s="3"/>
      <c r="F559" s="3"/>
      <c r="G559" s="3"/>
      <c r="H559" s="4"/>
      <c r="I559" s="5"/>
      <c r="J559" s="6"/>
      <c r="K559" s="3"/>
      <c r="L559" s="6"/>
      <c r="M559" s="6" t="str">
        <f>IF(OR(K559="",K559="Pending"),"",L559-J559)</f>
        <v> </v>
      </c>
      <c r="N559" s="6" t="str">
        <f>IF(M559="","",'Summary'!$B$4+SUM($M$2:M559))</f>
        <v> </v>
      </c>
    </row>
    <row r="560" spans="1:14">
      <c r="A560" s="2"/>
      <c r="B560" s="3"/>
      <c r="C560" s="3"/>
      <c r="D560" s="3"/>
      <c r="E560" s="3"/>
      <c r="F560" s="3"/>
      <c r="G560" s="3"/>
      <c r="H560" s="4"/>
      <c r="I560" s="5"/>
      <c r="J560" s="6"/>
      <c r="K560" s="3"/>
      <c r="L560" s="6"/>
      <c r="M560" s="6" t="str">
        <f>IF(OR(K560="",K560="Pending"),"",L560-J560)</f>
        <v> </v>
      </c>
      <c r="N560" s="6" t="str">
        <f>IF(M560="","",'Summary'!$B$4+SUM($M$2:M560))</f>
        <v> </v>
      </c>
    </row>
    <row r="561" spans="1:14">
      <c r="A561" s="2"/>
      <c r="B561" s="3"/>
      <c r="C561" s="3"/>
      <c r="D561" s="3"/>
      <c r="E561" s="3"/>
      <c r="F561" s="3"/>
      <c r="G561" s="3"/>
      <c r="H561" s="4"/>
      <c r="I561" s="5"/>
      <c r="J561" s="6"/>
      <c r="K561" s="3"/>
      <c r="L561" s="6"/>
      <c r="M561" s="6" t="str">
        <f>IF(OR(K561="",K561="Pending"),"",L561-J561)</f>
        <v> </v>
      </c>
      <c r="N561" s="6" t="str">
        <f>IF(M561="","",'Summary'!$B$4+SUM($M$2:M561))</f>
        <v> </v>
      </c>
    </row>
    <row r="562" spans="1:14">
      <c r="A562" s="2"/>
      <c r="B562" s="3"/>
      <c r="C562" s="3"/>
      <c r="D562" s="3"/>
      <c r="E562" s="3"/>
      <c r="F562" s="3"/>
      <c r="G562" s="3"/>
      <c r="H562" s="4"/>
      <c r="I562" s="5"/>
      <c r="J562" s="6"/>
      <c r="K562" s="3"/>
      <c r="L562" s="6"/>
      <c r="M562" s="6" t="str">
        <f>IF(OR(K562="",K562="Pending"),"",L562-J562)</f>
        <v> </v>
      </c>
      <c r="N562" s="6" t="str">
        <f>IF(M562="","",'Summary'!$B$4+SUM($M$2:M562))</f>
        <v> </v>
      </c>
    </row>
    <row r="563" spans="1:14">
      <c r="A563" s="2"/>
      <c r="B563" s="3"/>
      <c r="C563" s="3"/>
      <c r="D563" s="3"/>
      <c r="E563" s="3"/>
      <c r="F563" s="3"/>
      <c r="G563" s="3"/>
      <c r="H563" s="4"/>
      <c r="I563" s="5"/>
      <c r="J563" s="6"/>
      <c r="K563" s="3"/>
      <c r="L563" s="6"/>
      <c r="M563" s="6" t="str">
        <f>IF(OR(K563="",K563="Pending"),"",L563-J563)</f>
        <v> </v>
      </c>
      <c r="N563" s="6" t="str">
        <f>IF(M563="","",'Summary'!$B$4+SUM($M$2:M563))</f>
        <v> </v>
      </c>
    </row>
    <row r="564" spans="1:14">
      <c r="A564" s="2"/>
      <c r="B564" s="3"/>
      <c r="C564" s="3"/>
      <c r="D564" s="3"/>
      <c r="E564" s="3"/>
      <c r="F564" s="3"/>
      <c r="G564" s="3"/>
      <c r="H564" s="4"/>
      <c r="I564" s="5"/>
      <c r="J564" s="6"/>
      <c r="K564" s="3"/>
      <c r="L564" s="6"/>
      <c r="M564" s="6" t="str">
        <f>IF(OR(K564="",K564="Pending"),"",L564-J564)</f>
        <v> </v>
      </c>
      <c r="N564" s="6" t="str">
        <f>IF(M564="","",'Summary'!$B$4+SUM($M$2:M564))</f>
        <v> </v>
      </c>
    </row>
    <row r="565" spans="1:14">
      <c r="A565" s="2"/>
      <c r="B565" s="3"/>
      <c r="C565" s="3"/>
      <c r="D565" s="3"/>
      <c r="E565" s="3"/>
      <c r="F565" s="3"/>
      <c r="G565" s="3"/>
      <c r="H565" s="4"/>
      <c r="I565" s="5"/>
      <c r="J565" s="6"/>
      <c r="K565" s="3"/>
      <c r="L565" s="6"/>
      <c r="M565" s="6" t="str">
        <f>IF(OR(K565="",K565="Pending"),"",L565-J565)</f>
        <v> </v>
      </c>
      <c r="N565" s="6" t="str">
        <f>IF(M565="","",'Summary'!$B$4+SUM($M$2:M565))</f>
        <v> </v>
      </c>
    </row>
    <row r="566" spans="1:14">
      <c r="A566" s="2"/>
      <c r="B566" s="3"/>
      <c r="C566" s="3"/>
      <c r="D566" s="3"/>
      <c r="E566" s="3"/>
      <c r="F566" s="3"/>
      <c r="G566" s="3"/>
      <c r="H566" s="4"/>
      <c r="I566" s="5"/>
      <c r="J566" s="6"/>
      <c r="K566" s="3"/>
      <c r="L566" s="6"/>
      <c r="M566" s="6" t="str">
        <f>IF(OR(K566="",K566="Pending"),"",L566-J566)</f>
        <v> </v>
      </c>
      <c r="N566" s="6" t="str">
        <f>IF(M566="","",'Summary'!$B$4+SUM($M$2:M566))</f>
        <v> </v>
      </c>
    </row>
    <row r="567" spans="1:14">
      <c r="A567" s="2"/>
      <c r="B567" s="3"/>
      <c r="C567" s="3"/>
      <c r="D567" s="3"/>
      <c r="E567" s="3"/>
      <c r="F567" s="3"/>
      <c r="G567" s="3"/>
      <c r="H567" s="4"/>
      <c r="I567" s="5"/>
      <c r="J567" s="6"/>
      <c r="K567" s="3"/>
      <c r="L567" s="6"/>
      <c r="M567" s="6" t="str">
        <f>IF(OR(K567="",K567="Pending"),"",L567-J567)</f>
        <v> </v>
      </c>
      <c r="N567" s="6" t="str">
        <f>IF(M567="","",'Summary'!$B$4+SUM($M$2:M567))</f>
        <v> </v>
      </c>
    </row>
    <row r="568" spans="1:14">
      <c r="A568" s="2"/>
      <c r="B568" s="3"/>
      <c r="C568" s="3"/>
      <c r="D568" s="3"/>
      <c r="E568" s="3"/>
      <c r="F568" s="3"/>
      <c r="G568" s="3"/>
      <c r="H568" s="4"/>
      <c r="I568" s="5"/>
      <c r="J568" s="6"/>
      <c r="K568" s="3"/>
      <c r="L568" s="6"/>
      <c r="M568" s="6" t="str">
        <f>IF(OR(K568="",K568="Pending"),"",L568-J568)</f>
        <v> </v>
      </c>
      <c r="N568" s="6" t="str">
        <f>IF(M568="","",'Summary'!$B$4+SUM($M$2:M568))</f>
        <v> </v>
      </c>
    </row>
    <row r="569" spans="1:14">
      <c r="A569" s="2"/>
      <c r="B569" s="3"/>
      <c r="C569" s="3"/>
      <c r="D569" s="3"/>
      <c r="E569" s="3"/>
      <c r="F569" s="3"/>
      <c r="G569" s="3"/>
      <c r="H569" s="4"/>
      <c r="I569" s="5"/>
      <c r="J569" s="6"/>
      <c r="K569" s="3"/>
      <c r="L569" s="6"/>
      <c r="M569" s="6" t="str">
        <f>IF(OR(K569="",K569="Pending"),"",L569-J569)</f>
        <v> </v>
      </c>
      <c r="N569" s="6" t="str">
        <f>IF(M569="","",'Summary'!$B$4+SUM($M$2:M569))</f>
        <v> </v>
      </c>
    </row>
    <row r="570" spans="1:14">
      <c r="A570" s="2"/>
      <c r="B570" s="3"/>
      <c r="C570" s="3"/>
      <c r="D570" s="3"/>
      <c r="E570" s="3"/>
      <c r="F570" s="3"/>
      <c r="G570" s="3"/>
      <c r="H570" s="4"/>
      <c r="I570" s="5"/>
      <c r="J570" s="6"/>
      <c r="K570" s="3"/>
      <c r="L570" s="6"/>
      <c r="M570" s="6" t="str">
        <f>IF(OR(K570="",K570="Pending"),"",L570-J570)</f>
        <v> </v>
      </c>
      <c r="N570" s="6" t="str">
        <f>IF(M570="","",'Summary'!$B$4+SUM($M$2:M570))</f>
        <v> </v>
      </c>
    </row>
    <row r="571" spans="1:14">
      <c r="A571" s="2"/>
      <c r="B571" s="3"/>
      <c r="C571" s="3"/>
      <c r="D571" s="3"/>
      <c r="E571" s="3"/>
      <c r="F571" s="3"/>
      <c r="G571" s="3"/>
      <c r="H571" s="4"/>
      <c r="I571" s="5"/>
      <c r="J571" s="6"/>
      <c r="K571" s="3"/>
      <c r="L571" s="6"/>
      <c r="M571" s="6" t="str">
        <f>IF(OR(K571="",K571="Pending"),"",L571-J571)</f>
        <v> </v>
      </c>
      <c r="N571" s="6" t="str">
        <f>IF(M571="","",'Summary'!$B$4+SUM($M$2:M571))</f>
        <v> </v>
      </c>
    </row>
    <row r="572" spans="1:14">
      <c r="A572" s="2"/>
      <c r="B572" s="3"/>
      <c r="C572" s="3"/>
      <c r="D572" s="3"/>
      <c r="E572" s="3"/>
      <c r="F572" s="3"/>
      <c r="G572" s="3"/>
      <c r="H572" s="4"/>
      <c r="I572" s="5"/>
      <c r="J572" s="6"/>
      <c r="K572" s="3"/>
      <c r="L572" s="6"/>
      <c r="M572" s="6" t="str">
        <f>IF(OR(K572="",K572="Pending"),"",L572-J572)</f>
        <v> </v>
      </c>
      <c r="N572" s="6" t="str">
        <f>IF(M572="","",'Summary'!$B$4+SUM($M$2:M572))</f>
        <v> </v>
      </c>
    </row>
    <row r="573" spans="1:14">
      <c r="A573" s="2"/>
      <c r="B573" s="3"/>
      <c r="C573" s="3"/>
      <c r="D573" s="3"/>
      <c r="E573" s="3"/>
      <c r="F573" s="3"/>
      <c r="G573" s="3"/>
      <c r="H573" s="4"/>
      <c r="I573" s="5"/>
      <c r="J573" s="6"/>
      <c r="K573" s="3"/>
      <c r="L573" s="6"/>
      <c r="M573" s="6" t="str">
        <f>IF(OR(K573="",K573="Pending"),"",L573-J573)</f>
        <v> </v>
      </c>
      <c r="N573" s="6" t="str">
        <f>IF(M573="","",'Summary'!$B$4+SUM($M$2:M573))</f>
        <v> </v>
      </c>
    </row>
    <row r="574" spans="1:14">
      <c r="A574" s="2"/>
      <c r="B574" s="3"/>
      <c r="C574" s="3"/>
      <c r="D574" s="3"/>
      <c r="E574" s="3"/>
      <c r="F574" s="3"/>
      <c r="G574" s="3"/>
      <c r="H574" s="4"/>
      <c r="I574" s="5"/>
      <c r="J574" s="6"/>
      <c r="K574" s="3"/>
      <c r="L574" s="6"/>
      <c r="M574" s="6" t="str">
        <f>IF(OR(K574="",K574="Pending"),"",L574-J574)</f>
        <v> </v>
      </c>
      <c r="N574" s="6" t="str">
        <f>IF(M574="","",'Summary'!$B$4+SUM($M$2:M574))</f>
        <v> </v>
      </c>
    </row>
    <row r="575" spans="1:14">
      <c r="A575" s="2"/>
      <c r="B575" s="3"/>
      <c r="C575" s="3"/>
      <c r="D575" s="3"/>
      <c r="E575" s="3"/>
      <c r="F575" s="3"/>
      <c r="G575" s="3"/>
      <c r="H575" s="4"/>
      <c r="I575" s="5"/>
      <c r="J575" s="6"/>
      <c r="K575" s="3"/>
      <c r="L575" s="6"/>
      <c r="M575" s="6" t="str">
        <f>IF(OR(K575="",K575="Pending"),"",L575-J575)</f>
        <v> </v>
      </c>
      <c r="N575" s="6" t="str">
        <f>IF(M575="","",'Summary'!$B$4+SUM($M$2:M575))</f>
        <v> </v>
      </c>
    </row>
    <row r="576" spans="1:14">
      <c r="A576" s="2"/>
      <c r="B576" s="3"/>
      <c r="C576" s="3"/>
      <c r="D576" s="3"/>
      <c r="E576" s="3"/>
      <c r="F576" s="3"/>
      <c r="G576" s="3"/>
      <c r="H576" s="4"/>
      <c r="I576" s="5"/>
      <c r="J576" s="6"/>
      <c r="K576" s="3"/>
      <c r="L576" s="6"/>
      <c r="M576" s="6" t="str">
        <f>IF(OR(K576="",K576="Pending"),"",L576-J576)</f>
        <v> </v>
      </c>
      <c r="N576" s="6" t="str">
        <f>IF(M576="","",'Summary'!$B$4+SUM($M$2:M576))</f>
        <v> </v>
      </c>
    </row>
    <row r="577" spans="1:14">
      <c r="A577" s="2"/>
      <c r="B577" s="3"/>
      <c r="C577" s="3"/>
      <c r="D577" s="3"/>
      <c r="E577" s="3"/>
      <c r="F577" s="3"/>
      <c r="G577" s="3"/>
      <c r="H577" s="4"/>
      <c r="I577" s="5"/>
      <c r="J577" s="6"/>
      <c r="K577" s="3"/>
      <c r="L577" s="6"/>
      <c r="M577" s="6" t="str">
        <f>IF(OR(K577="",K577="Pending"),"",L577-J577)</f>
        <v> </v>
      </c>
      <c r="N577" s="6" t="str">
        <f>IF(M577="","",'Summary'!$B$4+SUM($M$2:M577))</f>
        <v> </v>
      </c>
    </row>
    <row r="578" spans="1:14">
      <c r="A578" s="2"/>
      <c r="B578" s="3"/>
      <c r="C578" s="3"/>
      <c r="D578" s="3"/>
      <c r="E578" s="3"/>
      <c r="F578" s="3"/>
      <c r="G578" s="3"/>
      <c r="H578" s="4"/>
      <c r="I578" s="5"/>
      <c r="J578" s="6"/>
      <c r="K578" s="3"/>
      <c r="L578" s="6"/>
      <c r="M578" s="6" t="str">
        <f>IF(OR(K578="",K578="Pending"),"",L578-J578)</f>
        <v> </v>
      </c>
      <c r="N578" s="6" t="str">
        <f>IF(M578="","",'Summary'!$B$4+SUM($M$2:M578))</f>
        <v> </v>
      </c>
    </row>
    <row r="579" spans="1:14">
      <c r="A579" s="2"/>
      <c r="B579" s="3"/>
      <c r="C579" s="3"/>
      <c r="D579" s="3"/>
      <c r="E579" s="3"/>
      <c r="F579" s="3"/>
      <c r="G579" s="3"/>
      <c r="H579" s="4"/>
      <c r="I579" s="5"/>
      <c r="J579" s="6"/>
      <c r="K579" s="3"/>
      <c r="L579" s="6"/>
      <c r="M579" s="6" t="str">
        <f>IF(OR(K579="",K579="Pending"),"",L579-J579)</f>
        <v> </v>
      </c>
      <c r="N579" s="6" t="str">
        <f>IF(M579="","",'Summary'!$B$4+SUM($M$2:M579))</f>
        <v> </v>
      </c>
    </row>
    <row r="580" spans="1:14">
      <c r="A580" s="2"/>
      <c r="B580" s="3"/>
      <c r="C580" s="3"/>
      <c r="D580" s="3"/>
      <c r="E580" s="3"/>
      <c r="F580" s="3"/>
      <c r="G580" s="3"/>
      <c r="H580" s="4"/>
      <c r="I580" s="5"/>
      <c r="J580" s="6"/>
      <c r="K580" s="3"/>
      <c r="L580" s="6"/>
      <c r="M580" s="6" t="str">
        <f>IF(OR(K580="",K580="Pending"),"",L580-J580)</f>
        <v> </v>
      </c>
      <c r="N580" s="6" t="str">
        <f>IF(M580="","",'Summary'!$B$4+SUM($M$2:M580))</f>
        <v> </v>
      </c>
    </row>
    <row r="581" spans="1:14">
      <c r="A581" s="2"/>
      <c r="B581" s="3"/>
      <c r="C581" s="3"/>
      <c r="D581" s="3"/>
      <c r="E581" s="3"/>
      <c r="F581" s="3"/>
      <c r="G581" s="3"/>
      <c r="H581" s="4"/>
      <c r="I581" s="5"/>
      <c r="J581" s="6"/>
      <c r="K581" s="3"/>
      <c r="L581" s="6"/>
      <c r="M581" s="6" t="str">
        <f>IF(OR(K581="",K581="Pending"),"",L581-J581)</f>
        <v> </v>
      </c>
      <c r="N581" s="6" t="str">
        <f>IF(M581="","",'Summary'!$B$4+SUM($M$2:M581))</f>
        <v> </v>
      </c>
    </row>
    <row r="582" spans="1:14">
      <c r="A582" s="2"/>
      <c r="B582" s="3"/>
      <c r="C582" s="3"/>
      <c r="D582" s="3"/>
      <c r="E582" s="3"/>
      <c r="F582" s="3"/>
      <c r="G582" s="3"/>
      <c r="H582" s="4"/>
      <c r="I582" s="5"/>
      <c r="J582" s="6"/>
      <c r="K582" s="3"/>
      <c r="L582" s="6"/>
      <c r="M582" s="6" t="str">
        <f>IF(OR(K582="",K582="Pending"),"",L582-J582)</f>
        <v> </v>
      </c>
      <c r="N582" s="6" t="str">
        <f>IF(M582="","",'Summary'!$B$4+SUM($M$2:M582))</f>
        <v> </v>
      </c>
    </row>
    <row r="583" spans="1:14">
      <c r="A583" s="2"/>
      <c r="B583" s="3"/>
      <c r="C583" s="3"/>
      <c r="D583" s="3"/>
      <c r="E583" s="3"/>
      <c r="F583" s="3"/>
      <c r="G583" s="3"/>
      <c r="H583" s="4"/>
      <c r="I583" s="5"/>
      <c r="J583" s="6"/>
      <c r="K583" s="3"/>
      <c r="L583" s="6"/>
      <c r="M583" s="6" t="str">
        <f>IF(OR(K583="",K583="Pending"),"",L583-J583)</f>
        <v> </v>
      </c>
      <c r="N583" s="6" t="str">
        <f>IF(M583="","",'Summary'!$B$4+SUM($M$2:M583))</f>
        <v> </v>
      </c>
    </row>
    <row r="584" spans="1:14">
      <c r="A584" s="2"/>
      <c r="B584" s="3"/>
      <c r="C584" s="3"/>
      <c r="D584" s="3"/>
      <c r="E584" s="3"/>
      <c r="F584" s="3"/>
      <c r="G584" s="3"/>
      <c r="H584" s="4"/>
      <c r="I584" s="5"/>
      <c r="J584" s="6"/>
      <c r="K584" s="3"/>
      <c r="L584" s="6"/>
      <c r="M584" s="6" t="str">
        <f>IF(OR(K584="",K584="Pending"),"",L584-J584)</f>
        <v> </v>
      </c>
      <c r="N584" s="6" t="str">
        <f>IF(M584="","",'Summary'!$B$4+SUM($M$2:M584))</f>
        <v> </v>
      </c>
    </row>
    <row r="585" spans="1:14">
      <c r="A585" s="2"/>
      <c r="B585" s="3"/>
      <c r="C585" s="3"/>
      <c r="D585" s="3"/>
      <c r="E585" s="3"/>
      <c r="F585" s="3"/>
      <c r="G585" s="3"/>
      <c r="H585" s="4"/>
      <c r="I585" s="5"/>
      <c r="J585" s="6"/>
      <c r="K585" s="3"/>
      <c r="L585" s="6"/>
      <c r="M585" s="6" t="str">
        <f>IF(OR(K585="",K585="Pending"),"",L585-J585)</f>
        <v> </v>
      </c>
      <c r="N585" s="6" t="str">
        <f>IF(M585="","",'Summary'!$B$4+SUM($M$2:M585))</f>
        <v> </v>
      </c>
    </row>
    <row r="586" spans="1:14">
      <c r="A586" s="2"/>
      <c r="B586" s="3"/>
      <c r="C586" s="3"/>
      <c r="D586" s="3"/>
      <c r="E586" s="3"/>
      <c r="F586" s="3"/>
      <c r="G586" s="3"/>
      <c r="H586" s="4"/>
      <c r="I586" s="5"/>
      <c r="J586" s="6"/>
      <c r="K586" s="3"/>
      <c r="L586" s="6"/>
      <c r="M586" s="6" t="str">
        <f>IF(OR(K586="",K586="Pending"),"",L586-J586)</f>
        <v> </v>
      </c>
      <c r="N586" s="6" t="str">
        <f>IF(M586="","",'Summary'!$B$4+SUM($M$2:M586))</f>
        <v> </v>
      </c>
    </row>
    <row r="587" spans="1:14">
      <c r="A587" s="2"/>
      <c r="B587" s="3"/>
      <c r="C587" s="3"/>
      <c r="D587" s="3"/>
      <c r="E587" s="3"/>
      <c r="F587" s="3"/>
      <c r="G587" s="3"/>
      <c r="H587" s="4"/>
      <c r="I587" s="5"/>
      <c r="J587" s="6"/>
      <c r="K587" s="3"/>
      <c r="L587" s="6"/>
      <c r="M587" s="6" t="str">
        <f>IF(OR(K587="",K587="Pending"),"",L587-J587)</f>
        <v> </v>
      </c>
      <c r="N587" s="6" t="str">
        <f>IF(M587="","",'Summary'!$B$4+SUM($M$2:M587))</f>
        <v> </v>
      </c>
    </row>
    <row r="588" spans="1:14">
      <c r="A588" s="2"/>
      <c r="B588" s="3"/>
      <c r="C588" s="3"/>
      <c r="D588" s="3"/>
      <c r="E588" s="3"/>
      <c r="F588" s="3"/>
      <c r="G588" s="3"/>
      <c r="H588" s="4"/>
      <c r="I588" s="5"/>
      <c r="J588" s="6"/>
      <c r="K588" s="3"/>
      <c r="L588" s="6"/>
      <c r="M588" s="6" t="str">
        <f>IF(OR(K588="",K588="Pending"),"",L588-J588)</f>
        <v> </v>
      </c>
      <c r="N588" s="6" t="str">
        <f>IF(M588="","",'Summary'!$B$4+SUM($M$2:M588))</f>
        <v> </v>
      </c>
    </row>
    <row r="589" spans="1:14">
      <c r="A589" s="2"/>
      <c r="B589" s="3"/>
      <c r="C589" s="3"/>
      <c r="D589" s="3"/>
      <c r="E589" s="3"/>
      <c r="F589" s="3"/>
      <c r="G589" s="3"/>
      <c r="H589" s="4"/>
      <c r="I589" s="5"/>
      <c r="J589" s="6"/>
      <c r="K589" s="3"/>
      <c r="L589" s="6"/>
      <c r="M589" s="6" t="str">
        <f>IF(OR(K589="",K589="Pending"),"",L589-J589)</f>
        <v> </v>
      </c>
      <c r="N589" s="6" t="str">
        <f>IF(M589="","",'Summary'!$B$4+SUM($M$2:M589))</f>
        <v> </v>
      </c>
    </row>
    <row r="590" spans="1:14">
      <c r="A590" s="2"/>
      <c r="B590" s="3"/>
      <c r="C590" s="3"/>
      <c r="D590" s="3"/>
      <c r="E590" s="3"/>
      <c r="F590" s="3"/>
      <c r="G590" s="3"/>
      <c r="H590" s="4"/>
      <c r="I590" s="5"/>
      <c r="J590" s="6"/>
      <c r="K590" s="3"/>
      <c r="L590" s="6"/>
      <c r="M590" s="6" t="str">
        <f>IF(OR(K590="",K590="Pending"),"",L590-J590)</f>
        <v> </v>
      </c>
      <c r="N590" s="6" t="str">
        <f>IF(M590="","",'Summary'!$B$4+SUM($M$2:M590))</f>
        <v> </v>
      </c>
    </row>
    <row r="591" spans="1:14">
      <c r="A591" s="2"/>
      <c r="B591" s="3"/>
      <c r="C591" s="3"/>
      <c r="D591" s="3"/>
      <c r="E591" s="3"/>
      <c r="F591" s="3"/>
      <c r="G591" s="3"/>
      <c r="H591" s="4"/>
      <c r="I591" s="5"/>
      <c r="J591" s="6"/>
      <c r="K591" s="3"/>
      <c r="L591" s="6"/>
      <c r="M591" s="6" t="str">
        <f>IF(OR(K591="",K591="Pending"),"",L591-J591)</f>
        <v> </v>
      </c>
      <c r="N591" s="6" t="str">
        <f>IF(M591="","",'Summary'!$B$4+SUM($M$2:M591))</f>
        <v> </v>
      </c>
    </row>
    <row r="592" spans="1:14">
      <c r="A592" s="2"/>
      <c r="B592" s="3"/>
      <c r="C592" s="3"/>
      <c r="D592" s="3"/>
      <c r="E592" s="3"/>
      <c r="F592" s="3"/>
      <c r="G592" s="3"/>
      <c r="H592" s="4"/>
      <c r="I592" s="5"/>
      <c r="J592" s="6"/>
      <c r="K592" s="3"/>
      <c r="L592" s="6"/>
      <c r="M592" s="6" t="str">
        <f>IF(OR(K592="",K592="Pending"),"",L592-J592)</f>
        <v> </v>
      </c>
      <c r="N592" s="6" t="str">
        <f>IF(M592="","",'Summary'!$B$4+SUM($M$2:M592))</f>
        <v> </v>
      </c>
    </row>
    <row r="593" spans="1:14">
      <c r="A593" s="2"/>
      <c r="B593" s="3"/>
      <c r="C593" s="3"/>
      <c r="D593" s="3"/>
      <c r="E593" s="3"/>
      <c r="F593" s="3"/>
      <c r="G593" s="3"/>
      <c r="H593" s="4"/>
      <c r="I593" s="5"/>
      <c r="J593" s="6"/>
      <c r="K593" s="3"/>
      <c r="L593" s="6"/>
      <c r="M593" s="6" t="str">
        <f>IF(OR(K593="",K593="Pending"),"",L593-J593)</f>
        <v> </v>
      </c>
      <c r="N593" s="6" t="str">
        <f>IF(M593="","",'Summary'!$B$4+SUM($M$2:M593))</f>
        <v> </v>
      </c>
    </row>
    <row r="594" spans="1:14">
      <c r="A594" s="2"/>
      <c r="B594" s="3"/>
      <c r="C594" s="3"/>
      <c r="D594" s="3"/>
      <c r="E594" s="3"/>
      <c r="F594" s="3"/>
      <c r="G594" s="3"/>
      <c r="H594" s="4"/>
      <c r="I594" s="5"/>
      <c r="J594" s="6"/>
      <c r="K594" s="3"/>
      <c r="L594" s="6"/>
      <c r="M594" s="6" t="str">
        <f>IF(OR(K594="",K594="Pending"),"",L594-J594)</f>
        <v> </v>
      </c>
      <c r="N594" s="6" t="str">
        <f>IF(M594="","",'Summary'!$B$4+SUM($M$2:M594))</f>
        <v> </v>
      </c>
    </row>
    <row r="595" spans="1:14">
      <c r="A595" s="2"/>
      <c r="B595" s="3"/>
      <c r="C595" s="3"/>
      <c r="D595" s="3"/>
      <c r="E595" s="3"/>
      <c r="F595" s="3"/>
      <c r="G595" s="3"/>
      <c r="H595" s="4"/>
      <c r="I595" s="5"/>
      <c r="J595" s="6"/>
      <c r="K595" s="3"/>
      <c r="L595" s="6"/>
      <c r="M595" s="6" t="str">
        <f>IF(OR(K595="",K595="Pending"),"",L595-J595)</f>
        <v> </v>
      </c>
      <c r="N595" s="6" t="str">
        <f>IF(M595="","",'Summary'!$B$4+SUM($M$2:M595))</f>
        <v> </v>
      </c>
    </row>
    <row r="596" spans="1:14">
      <c r="A596" s="2"/>
      <c r="B596" s="3"/>
      <c r="C596" s="3"/>
      <c r="D596" s="3"/>
      <c r="E596" s="3"/>
      <c r="F596" s="3"/>
      <c r="G596" s="3"/>
      <c r="H596" s="4"/>
      <c r="I596" s="5"/>
      <c r="J596" s="6"/>
      <c r="K596" s="3"/>
      <c r="L596" s="6"/>
      <c r="M596" s="6" t="str">
        <f>IF(OR(K596="",K596="Pending"),"",L596-J596)</f>
        <v> </v>
      </c>
      <c r="N596" s="6" t="str">
        <f>IF(M596="","",'Summary'!$B$4+SUM($M$2:M596))</f>
        <v> </v>
      </c>
    </row>
    <row r="597" spans="1:14">
      <c r="A597" s="2"/>
      <c r="B597" s="3"/>
      <c r="C597" s="3"/>
      <c r="D597" s="3"/>
      <c r="E597" s="3"/>
      <c r="F597" s="3"/>
      <c r="G597" s="3"/>
      <c r="H597" s="4"/>
      <c r="I597" s="5"/>
      <c r="J597" s="6"/>
      <c r="K597" s="3"/>
      <c r="L597" s="6"/>
      <c r="M597" s="6" t="str">
        <f>IF(OR(K597="",K597="Pending"),"",L597-J597)</f>
        <v> </v>
      </c>
      <c r="N597" s="6" t="str">
        <f>IF(M597="","",'Summary'!$B$4+SUM($M$2:M597))</f>
        <v> </v>
      </c>
    </row>
    <row r="598" spans="1:14">
      <c r="A598" s="2"/>
      <c r="B598" s="3"/>
      <c r="C598" s="3"/>
      <c r="D598" s="3"/>
      <c r="E598" s="3"/>
      <c r="F598" s="3"/>
      <c r="G598" s="3"/>
      <c r="H598" s="4"/>
      <c r="I598" s="5"/>
      <c r="J598" s="6"/>
      <c r="K598" s="3"/>
      <c r="L598" s="6"/>
      <c r="M598" s="6" t="str">
        <f>IF(OR(K598="",K598="Pending"),"",L598-J598)</f>
        <v> </v>
      </c>
      <c r="N598" s="6" t="str">
        <f>IF(M598="","",'Summary'!$B$4+SUM($M$2:M598))</f>
        <v> </v>
      </c>
    </row>
    <row r="599" spans="1:14">
      <c r="A599" s="2"/>
      <c r="B599" s="3"/>
      <c r="C599" s="3"/>
      <c r="D599" s="3"/>
      <c r="E599" s="3"/>
      <c r="F599" s="3"/>
      <c r="G599" s="3"/>
      <c r="H599" s="4"/>
      <c r="I599" s="5"/>
      <c r="J599" s="6"/>
      <c r="K599" s="3"/>
      <c r="L599" s="6"/>
      <c r="M599" s="6" t="str">
        <f>IF(OR(K599="",K599="Pending"),"",L599-J599)</f>
        <v> </v>
      </c>
      <c r="N599" s="6" t="str">
        <f>IF(M599="","",'Summary'!$B$4+SUM($M$2:M599))</f>
        <v> </v>
      </c>
    </row>
    <row r="600" spans="1:14">
      <c r="A600" s="2"/>
      <c r="B600" s="3"/>
      <c r="C600" s="3"/>
      <c r="D600" s="3"/>
      <c r="E600" s="3"/>
      <c r="F600" s="3"/>
      <c r="G600" s="3"/>
      <c r="H600" s="4"/>
      <c r="I600" s="5"/>
      <c r="J600" s="6"/>
      <c r="K600" s="3"/>
      <c r="L600" s="6"/>
      <c r="M600" s="6" t="str">
        <f>IF(OR(K600="",K600="Pending"),"",L600-J600)</f>
        <v> </v>
      </c>
      <c r="N600" s="6" t="str">
        <f>IF(M600="","",'Summary'!$B$4+SUM($M$2:M600))</f>
        <v> </v>
      </c>
    </row>
    <row r="601" spans="1:14">
      <c r="A601" s="2"/>
      <c r="B601" s="3"/>
      <c r="C601" s="3"/>
      <c r="D601" s="3"/>
      <c r="E601" s="3"/>
      <c r="F601" s="3"/>
      <c r="G601" s="3"/>
      <c r="H601" s="4"/>
      <c r="I601" s="5"/>
      <c r="J601" s="6"/>
      <c r="K601" s="3"/>
      <c r="L601" s="6"/>
      <c r="M601" s="6" t="str">
        <f>IF(OR(K601="",K601="Pending"),"",L601-J601)</f>
        <v> </v>
      </c>
      <c r="N601" s="6" t="str">
        <f>IF(M601="","",'Summary'!$B$4+SUM($M$2:M601))</f>
        <v> </v>
      </c>
    </row>
    <row r="602" spans="1:14">
      <c r="A602" s="2"/>
      <c r="B602" s="3"/>
      <c r="C602" s="3"/>
      <c r="D602" s="3"/>
      <c r="E602" s="3"/>
      <c r="F602" s="3"/>
      <c r="G602" s="3"/>
      <c r="H602" s="4"/>
      <c r="I602" s="5"/>
      <c r="J602" s="6"/>
      <c r="K602" s="3"/>
      <c r="L602" s="6"/>
      <c r="M602" s="6" t="str">
        <f>IF(OR(K602="",K602="Pending"),"",L602-J602)</f>
        <v> </v>
      </c>
      <c r="N602" s="6" t="str">
        <f>IF(M602="","",'Summary'!$B$4+SUM($M$2:M602))</f>
        <v> </v>
      </c>
    </row>
    <row r="603" spans="1:14">
      <c r="A603" s="2"/>
      <c r="B603" s="3"/>
      <c r="C603" s="3"/>
      <c r="D603" s="3"/>
      <c r="E603" s="3"/>
      <c r="F603" s="3"/>
      <c r="G603" s="3"/>
      <c r="H603" s="4"/>
      <c r="I603" s="5"/>
      <c r="J603" s="6"/>
      <c r="K603" s="3"/>
      <c r="L603" s="6"/>
      <c r="M603" s="6" t="str">
        <f>IF(OR(K603="",K603="Pending"),"",L603-J603)</f>
        <v> </v>
      </c>
      <c r="N603" s="6" t="str">
        <f>IF(M603="","",'Summary'!$B$4+SUM($M$2:M603))</f>
        <v> </v>
      </c>
    </row>
    <row r="604" spans="1:14">
      <c r="A604" s="2"/>
      <c r="B604" s="3"/>
      <c r="C604" s="3"/>
      <c r="D604" s="3"/>
      <c r="E604" s="3"/>
      <c r="F604" s="3"/>
      <c r="G604" s="3"/>
      <c r="H604" s="4"/>
      <c r="I604" s="5"/>
      <c r="J604" s="6"/>
      <c r="K604" s="3"/>
      <c r="L604" s="6"/>
      <c r="M604" s="6" t="str">
        <f>IF(OR(K604="",K604="Pending"),"",L604-J604)</f>
        <v> </v>
      </c>
      <c r="N604" s="6" t="str">
        <f>IF(M604="","",'Summary'!$B$4+SUM($M$2:M604))</f>
        <v> </v>
      </c>
    </row>
    <row r="605" spans="1:14">
      <c r="A605" s="2"/>
      <c r="B605" s="3"/>
      <c r="C605" s="3"/>
      <c r="D605" s="3"/>
      <c r="E605" s="3"/>
      <c r="F605" s="3"/>
      <c r="G605" s="3"/>
      <c r="H605" s="4"/>
      <c r="I605" s="5"/>
      <c r="J605" s="6"/>
      <c r="K605" s="3"/>
      <c r="L605" s="6"/>
      <c r="M605" s="6" t="str">
        <f>IF(OR(K605="",K605="Pending"),"",L605-J605)</f>
        <v> </v>
      </c>
      <c r="N605" s="6" t="str">
        <f>IF(M605="","",'Summary'!$B$4+SUM($M$2:M605))</f>
        <v> </v>
      </c>
    </row>
    <row r="606" spans="1:14">
      <c r="A606" s="2"/>
      <c r="B606" s="3"/>
      <c r="C606" s="3"/>
      <c r="D606" s="3"/>
      <c r="E606" s="3"/>
      <c r="F606" s="3"/>
      <c r="G606" s="3"/>
      <c r="H606" s="4"/>
      <c r="I606" s="5"/>
      <c r="J606" s="6"/>
      <c r="K606" s="3"/>
      <c r="L606" s="6"/>
      <c r="M606" s="6" t="str">
        <f>IF(OR(K606="",K606="Pending"),"",L606-J606)</f>
        <v> </v>
      </c>
      <c r="N606" s="6" t="str">
        <f>IF(M606="","",'Summary'!$B$4+SUM($M$2:M606))</f>
        <v> </v>
      </c>
    </row>
    <row r="607" spans="1:14">
      <c r="A607" s="2"/>
      <c r="B607" s="3"/>
      <c r="C607" s="3"/>
      <c r="D607" s="3"/>
      <c r="E607" s="3"/>
      <c r="F607" s="3"/>
      <c r="G607" s="3"/>
      <c r="H607" s="4"/>
      <c r="I607" s="5"/>
      <c r="J607" s="6"/>
      <c r="K607" s="3"/>
      <c r="L607" s="6"/>
      <c r="M607" s="6" t="str">
        <f>IF(OR(K607="",K607="Pending"),"",L607-J607)</f>
        <v> </v>
      </c>
      <c r="N607" s="6" t="str">
        <f>IF(M607="","",'Summary'!$B$4+SUM($M$2:M607))</f>
        <v> </v>
      </c>
    </row>
    <row r="608" spans="1:14">
      <c r="A608" s="2"/>
      <c r="B608" s="3"/>
      <c r="C608" s="3"/>
      <c r="D608" s="3"/>
      <c r="E608" s="3"/>
      <c r="F608" s="3"/>
      <c r="G608" s="3"/>
      <c r="H608" s="4"/>
      <c r="I608" s="5"/>
      <c r="J608" s="6"/>
      <c r="K608" s="3"/>
      <c r="L608" s="6"/>
      <c r="M608" s="6" t="str">
        <f>IF(OR(K608="",K608="Pending"),"",L608-J608)</f>
        <v> </v>
      </c>
      <c r="N608" s="6" t="str">
        <f>IF(M608="","",'Summary'!$B$4+SUM($M$2:M608))</f>
        <v> </v>
      </c>
    </row>
    <row r="609" spans="1:14">
      <c r="A609" s="2"/>
      <c r="B609" s="3"/>
      <c r="C609" s="3"/>
      <c r="D609" s="3"/>
      <c r="E609" s="3"/>
      <c r="F609" s="3"/>
      <c r="G609" s="3"/>
      <c r="H609" s="4"/>
      <c r="I609" s="5"/>
      <c r="J609" s="6"/>
      <c r="K609" s="3"/>
      <c r="L609" s="6"/>
      <c r="M609" s="6" t="str">
        <f>IF(OR(K609="",K609="Pending"),"",L609-J609)</f>
        <v> </v>
      </c>
      <c r="N609" s="6" t="str">
        <f>IF(M609="","",'Summary'!$B$4+SUM($M$2:M609))</f>
        <v> </v>
      </c>
    </row>
    <row r="610" spans="1:14">
      <c r="A610" s="2"/>
      <c r="B610" s="3"/>
      <c r="C610" s="3"/>
      <c r="D610" s="3"/>
      <c r="E610" s="3"/>
      <c r="F610" s="3"/>
      <c r="G610" s="3"/>
      <c r="H610" s="4"/>
      <c r="I610" s="5"/>
      <c r="J610" s="6"/>
      <c r="K610" s="3"/>
      <c r="L610" s="6"/>
      <c r="M610" s="6" t="str">
        <f>IF(OR(K610="",K610="Pending"),"",L610-J610)</f>
        <v> </v>
      </c>
      <c r="N610" s="6" t="str">
        <f>IF(M610="","",'Summary'!$B$4+SUM($M$2:M610))</f>
        <v> </v>
      </c>
    </row>
    <row r="611" spans="1:14">
      <c r="A611" s="2"/>
      <c r="B611" s="3"/>
      <c r="C611" s="3"/>
      <c r="D611" s="3"/>
      <c r="E611" s="3"/>
      <c r="F611" s="3"/>
      <c r="G611" s="3"/>
      <c r="H611" s="4"/>
      <c r="I611" s="5"/>
      <c r="J611" s="6"/>
      <c r="K611" s="3"/>
      <c r="L611" s="6"/>
      <c r="M611" s="6" t="str">
        <f>IF(OR(K611="",K611="Pending"),"",L611-J611)</f>
        <v> </v>
      </c>
      <c r="N611" s="6" t="str">
        <f>IF(M611="","",'Summary'!$B$4+SUM($M$2:M611))</f>
        <v> </v>
      </c>
    </row>
    <row r="612" spans="1:14">
      <c r="A612" s="2"/>
      <c r="B612" s="3"/>
      <c r="C612" s="3"/>
      <c r="D612" s="3"/>
      <c r="E612" s="3"/>
      <c r="F612" s="3"/>
      <c r="G612" s="3"/>
      <c r="H612" s="4"/>
      <c r="I612" s="5"/>
      <c r="J612" s="6"/>
      <c r="K612" s="3"/>
      <c r="L612" s="6"/>
      <c r="M612" s="6" t="str">
        <f>IF(OR(K612="",K612="Pending"),"",L612-J612)</f>
        <v> </v>
      </c>
      <c r="N612" s="6" t="str">
        <f>IF(M612="","",'Summary'!$B$4+SUM($M$2:M612))</f>
        <v> </v>
      </c>
    </row>
    <row r="613" spans="1:14">
      <c r="A613" s="2"/>
      <c r="B613" s="3"/>
      <c r="C613" s="3"/>
      <c r="D613" s="3"/>
      <c r="E613" s="3"/>
      <c r="F613" s="3"/>
      <c r="G613" s="3"/>
      <c r="H613" s="4"/>
      <c r="I613" s="5"/>
      <c r="J613" s="6"/>
      <c r="K613" s="3"/>
      <c r="L613" s="6"/>
      <c r="M613" s="6" t="str">
        <f>IF(OR(K613="",K613="Pending"),"",L613-J613)</f>
        <v> </v>
      </c>
      <c r="N613" s="6" t="str">
        <f>IF(M613="","",'Summary'!$B$4+SUM($M$2:M613))</f>
        <v> </v>
      </c>
    </row>
    <row r="614" spans="1:14">
      <c r="A614" s="2"/>
      <c r="B614" s="3"/>
      <c r="C614" s="3"/>
      <c r="D614" s="3"/>
      <c r="E614" s="3"/>
      <c r="F614" s="3"/>
      <c r="G614" s="3"/>
      <c r="H614" s="4"/>
      <c r="I614" s="5"/>
      <c r="J614" s="6"/>
      <c r="K614" s="3"/>
      <c r="L614" s="6"/>
      <c r="M614" s="6" t="str">
        <f>IF(OR(K614="",K614="Pending"),"",L614-J614)</f>
        <v> </v>
      </c>
      <c r="N614" s="6" t="str">
        <f>IF(M614="","",'Summary'!$B$4+SUM($M$2:M614))</f>
        <v> </v>
      </c>
    </row>
    <row r="615" spans="1:14">
      <c r="A615" s="2"/>
      <c r="B615" s="3"/>
      <c r="C615" s="3"/>
      <c r="D615" s="3"/>
      <c r="E615" s="3"/>
      <c r="F615" s="3"/>
      <c r="G615" s="3"/>
      <c r="H615" s="4"/>
      <c r="I615" s="5"/>
      <c r="J615" s="6"/>
      <c r="K615" s="3"/>
      <c r="L615" s="6"/>
      <c r="M615" s="6" t="str">
        <f>IF(OR(K615="",K615="Pending"),"",L615-J615)</f>
        <v> </v>
      </c>
      <c r="N615" s="6" t="str">
        <f>IF(M615="","",'Summary'!$B$4+SUM($M$2:M615))</f>
        <v> </v>
      </c>
    </row>
    <row r="616" spans="1:14">
      <c r="A616" s="2"/>
      <c r="B616" s="3"/>
      <c r="C616" s="3"/>
      <c r="D616" s="3"/>
      <c r="E616" s="3"/>
      <c r="F616" s="3"/>
      <c r="G616" s="3"/>
      <c r="H616" s="4"/>
      <c r="I616" s="5"/>
      <c r="J616" s="6"/>
      <c r="K616" s="3"/>
      <c r="L616" s="6"/>
      <c r="M616" s="6" t="str">
        <f>IF(OR(K616="",K616="Pending"),"",L616-J616)</f>
        <v> </v>
      </c>
      <c r="N616" s="6" t="str">
        <f>IF(M616="","",'Summary'!$B$4+SUM($M$2:M616))</f>
        <v> </v>
      </c>
    </row>
    <row r="617" spans="1:14">
      <c r="A617" s="2"/>
      <c r="B617" s="3"/>
      <c r="C617" s="3"/>
      <c r="D617" s="3"/>
      <c r="E617" s="3"/>
      <c r="F617" s="3"/>
      <c r="G617" s="3"/>
      <c r="H617" s="4"/>
      <c r="I617" s="5"/>
      <c r="J617" s="6"/>
      <c r="K617" s="3"/>
      <c r="L617" s="6"/>
      <c r="M617" s="6" t="str">
        <f>IF(OR(K617="",K617="Pending"),"",L617-J617)</f>
        <v> </v>
      </c>
      <c r="N617" s="6" t="str">
        <f>IF(M617="","",'Summary'!$B$4+SUM($M$2:M617))</f>
        <v> </v>
      </c>
    </row>
    <row r="618" spans="1:14">
      <c r="A618" s="2"/>
      <c r="B618" s="3"/>
      <c r="C618" s="3"/>
      <c r="D618" s="3"/>
      <c r="E618" s="3"/>
      <c r="F618" s="3"/>
      <c r="G618" s="3"/>
      <c r="H618" s="4"/>
      <c r="I618" s="5"/>
      <c r="J618" s="6"/>
      <c r="K618" s="3"/>
      <c r="L618" s="6"/>
      <c r="M618" s="6" t="str">
        <f>IF(OR(K618="",K618="Pending"),"",L618-J618)</f>
        <v> </v>
      </c>
      <c r="N618" s="6" t="str">
        <f>IF(M618="","",'Summary'!$B$4+SUM($M$2:M618))</f>
        <v> </v>
      </c>
    </row>
    <row r="619" spans="1:14">
      <c r="A619" s="2"/>
      <c r="B619" s="3"/>
      <c r="C619" s="3"/>
      <c r="D619" s="3"/>
      <c r="E619" s="3"/>
      <c r="F619" s="3"/>
      <c r="G619" s="3"/>
      <c r="H619" s="4"/>
      <c r="I619" s="5"/>
      <c r="J619" s="6"/>
      <c r="K619" s="3"/>
      <c r="L619" s="6"/>
      <c r="M619" s="6" t="str">
        <f>IF(OR(K619="",K619="Pending"),"",L619-J619)</f>
        <v> </v>
      </c>
      <c r="N619" s="6" t="str">
        <f>IF(M619="","",'Summary'!$B$4+SUM($M$2:M619))</f>
        <v> </v>
      </c>
    </row>
    <row r="620" spans="1:14">
      <c r="A620" s="2"/>
      <c r="B620" s="3"/>
      <c r="C620" s="3"/>
      <c r="D620" s="3"/>
      <c r="E620" s="3"/>
      <c r="F620" s="3"/>
      <c r="G620" s="3"/>
      <c r="H620" s="4"/>
      <c r="I620" s="5"/>
      <c r="J620" s="6"/>
      <c r="K620" s="3"/>
      <c r="L620" s="6"/>
      <c r="M620" s="6" t="str">
        <f>IF(OR(K620="",K620="Pending"),"",L620-J620)</f>
        <v> </v>
      </c>
      <c r="N620" s="6" t="str">
        <f>IF(M620="","",'Summary'!$B$4+SUM($M$2:M620))</f>
        <v> </v>
      </c>
    </row>
    <row r="621" spans="1:14">
      <c r="A621" s="2"/>
      <c r="B621" s="3"/>
      <c r="C621" s="3"/>
      <c r="D621" s="3"/>
      <c r="E621" s="3"/>
      <c r="F621" s="3"/>
      <c r="G621" s="3"/>
      <c r="H621" s="4"/>
      <c r="I621" s="5"/>
      <c r="J621" s="6"/>
      <c r="K621" s="3"/>
      <c r="L621" s="6"/>
      <c r="M621" s="6" t="str">
        <f>IF(OR(K621="",K621="Pending"),"",L621-J621)</f>
        <v> </v>
      </c>
      <c r="N621" s="6" t="str">
        <f>IF(M621="","",'Summary'!$B$4+SUM($M$2:M621))</f>
        <v> </v>
      </c>
    </row>
    <row r="622" spans="1:14">
      <c r="A622" s="2"/>
      <c r="B622" s="3"/>
      <c r="C622" s="3"/>
      <c r="D622" s="3"/>
      <c r="E622" s="3"/>
      <c r="F622" s="3"/>
      <c r="G622" s="3"/>
      <c r="H622" s="4"/>
      <c r="I622" s="5"/>
      <c r="J622" s="6"/>
      <c r="K622" s="3"/>
      <c r="L622" s="6"/>
      <c r="M622" s="6" t="str">
        <f>IF(OR(K622="",K622="Pending"),"",L622-J622)</f>
        <v> </v>
      </c>
      <c r="N622" s="6" t="str">
        <f>IF(M622="","",'Summary'!$B$4+SUM($M$2:M622))</f>
        <v> </v>
      </c>
    </row>
    <row r="623" spans="1:14">
      <c r="A623" s="2"/>
      <c r="B623" s="3"/>
      <c r="C623" s="3"/>
      <c r="D623" s="3"/>
      <c r="E623" s="3"/>
      <c r="F623" s="3"/>
      <c r="G623" s="3"/>
      <c r="H623" s="4"/>
      <c r="I623" s="5"/>
      <c r="J623" s="6"/>
      <c r="K623" s="3"/>
      <c r="L623" s="6"/>
      <c r="M623" s="6" t="str">
        <f>IF(OR(K623="",K623="Pending"),"",L623-J623)</f>
        <v> </v>
      </c>
      <c r="N623" s="6" t="str">
        <f>IF(M623="","",'Summary'!$B$4+SUM($M$2:M623))</f>
        <v> </v>
      </c>
    </row>
    <row r="624" spans="1:14">
      <c r="A624" s="2"/>
      <c r="B624" s="3"/>
      <c r="C624" s="3"/>
      <c r="D624" s="3"/>
      <c r="E624" s="3"/>
      <c r="F624" s="3"/>
      <c r="G624" s="3"/>
      <c r="H624" s="4"/>
      <c r="I624" s="5"/>
      <c r="J624" s="6"/>
      <c r="K624" s="3"/>
      <c r="L624" s="6"/>
      <c r="M624" s="6" t="str">
        <f>IF(OR(K624="",K624="Pending"),"",L624-J624)</f>
        <v> </v>
      </c>
      <c r="N624" s="6" t="str">
        <f>IF(M624="","",'Summary'!$B$4+SUM($M$2:M624))</f>
        <v> </v>
      </c>
    </row>
    <row r="625" spans="1:14">
      <c r="A625" s="2"/>
      <c r="B625" s="3"/>
      <c r="C625" s="3"/>
      <c r="D625" s="3"/>
      <c r="E625" s="3"/>
      <c r="F625" s="3"/>
      <c r="G625" s="3"/>
      <c r="H625" s="4"/>
      <c r="I625" s="5"/>
      <c r="J625" s="6"/>
      <c r="K625" s="3"/>
      <c r="L625" s="6"/>
      <c r="M625" s="6" t="str">
        <f>IF(OR(K625="",K625="Pending"),"",L625-J625)</f>
        <v> </v>
      </c>
      <c r="N625" s="6" t="str">
        <f>IF(M625="","",'Summary'!$B$4+SUM($M$2:M625))</f>
        <v> </v>
      </c>
    </row>
    <row r="626" spans="1:14">
      <c r="A626" s="2"/>
      <c r="B626" s="3"/>
      <c r="C626" s="3"/>
      <c r="D626" s="3"/>
      <c r="E626" s="3"/>
      <c r="F626" s="3"/>
      <c r="G626" s="3"/>
      <c r="H626" s="4"/>
      <c r="I626" s="5"/>
      <c r="J626" s="6"/>
      <c r="K626" s="3"/>
      <c r="L626" s="6"/>
      <c r="M626" s="6" t="str">
        <f>IF(OR(K626="",K626="Pending"),"",L626-J626)</f>
        <v> </v>
      </c>
      <c r="N626" s="6" t="str">
        <f>IF(M626="","",'Summary'!$B$4+SUM($M$2:M626))</f>
        <v> </v>
      </c>
    </row>
    <row r="627" spans="1:14">
      <c r="A627" s="2"/>
      <c r="B627" s="3"/>
      <c r="C627" s="3"/>
      <c r="D627" s="3"/>
      <c r="E627" s="3"/>
      <c r="F627" s="3"/>
      <c r="G627" s="3"/>
      <c r="H627" s="4"/>
      <c r="I627" s="5"/>
      <c r="J627" s="6"/>
      <c r="K627" s="3"/>
      <c r="L627" s="6"/>
      <c r="M627" s="6" t="str">
        <f>IF(OR(K627="",K627="Pending"),"",L627-J627)</f>
        <v> </v>
      </c>
      <c r="N627" s="6" t="str">
        <f>IF(M627="","",'Summary'!$B$4+SUM($M$2:M627))</f>
        <v> </v>
      </c>
    </row>
    <row r="628" spans="1:14">
      <c r="A628" s="2"/>
      <c r="B628" s="3"/>
      <c r="C628" s="3"/>
      <c r="D628" s="3"/>
      <c r="E628" s="3"/>
      <c r="F628" s="3"/>
      <c r="G628" s="3"/>
      <c r="H628" s="4"/>
      <c r="I628" s="5"/>
      <c r="J628" s="6"/>
      <c r="K628" s="3"/>
      <c r="L628" s="6"/>
      <c r="M628" s="6" t="str">
        <f>IF(OR(K628="",K628="Pending"),"",L628-J628)</f>
        <v> </v>
      </c>
      <c r="N628" s="6" t="str">
        <f>IF(M628="","",'Summary'!$B$4+SUM($M$2:M628))</f>
        <v> </v>
      </c>
    </row>
    <row r="629" spans="1:14">
      <c r="A629" s="2"/>
      <c r="B629" s="3"/>
      <c r="C629" s="3"/>
      <c r="D629" s="3"/>
      <c r="E629" s="3"/>
      <c r="F629" s="3"/>
      <c r="G629" s="3"/>
      <c r="H629" s="4"/>
      <c r="I629" s="5"/>
      <c r="J629" s="6"/>
      <c r="K629" s="3"/>
      <c r="L629" s="6"/>
      <c r="M629" s="6" t="str">
        <f>IF(OR(K629="",K629="Pending"),"",L629-J629)</f>
        <v> </v>
      </c>
      <c r="N629" s="6" t="str">
        <f>IF(M629="","",'Summary'!$B$4+SUM($M$2:M629))</f>
        <v> </v>
      </c>
    </row>
    <row r="630" spans="1:14">
      <c r="A630" s="2"/>
      <c r="B630" s="3"/>
      <c r="C630" s="3"/>
      <c r="D630" s="3"/>
      <c r="E630" s="3"/>
      <c r="F630" s="3"/>
      <c r="G630" s="3"/>
      <c r="H630" s="4"/>
      <c r="I630" s="5"/>
      <c r="J630" s="6"/>
      <c r="K630" s="3"/>
      <c r="L630" s="6"/>
      <c r="M630" s="6" t="str">
        <f>IF(OR(K630="",K630="Pending"),"",L630-J630)</f>
        <v> </v>
      </c>
      <c r="N630" s="6" t="str">
        <f>IF(M630="","",'Summary'!$B$4+SUM($M$2:M630))</f>
        <v> </v>
      </c>
    </row>
    <row r="631" spans="1:14">
      <c r="A631" s="2"/>
      <c r="B631" s="3"/>
      <c r="C631" s="3"/>
      <c r="D631" s="3"/>
      <c r="E631" s="3"/>
      <c r="F631" s="3"/>
      <c r="G631" s="3"/>
      <c r="H631" s="4"/>
      <c r="I631" s="5"/>
      <c r="J631" s="6"/>
      <c r="K631" s="3"/>
      <c r="L631" s="6"/>
      <c r="M631" s="6" t="str">
        <f>IF(OR(K631="",K631="Pending"),"",L631-J631)</f>
        <v> </v>
      </c>
      <c r="N631" s="6" t="str">
        <f>IF(M631="","",'Summary'!$B$4+SUM($M$2:M631))</f>
        <v> </v>
      </c>
    </row>
    <row r="632" spans="1:14">
      <c r="A632" s="2"/>
      <c r="B632" s="3"/>
      <c r="C632" s="3"/>
      <c r="D632" s="3"/>
      <c r="E632" s="3"/>
      <c r="F632" s="3"/>
      <c r="G632" s="3"/>
      <c r="H632" s="4"/>
      <c r="I632" s="5"/>
      <c r="J632" s="6"/>
      <c r="K632" s="3"/>
      <c r="L632" s="6"/>
      <c r="M632" s="6" t="str">
        <f>IF(OR(K632="",K632="Pending"),"",L632-J632)</f>
        <v> </v>
      </c>
      <c r="N632" s="6" t="str">
        <f>IF(M632="","",'Summary'!$B$4+SUM($M$2:M632))</f>
        <v> </v>
      </c>
    </row>
    <row r="633" spans="1:14">
      <c r="A633" s="2"/>
      <c r="B633" s="3"/>
      <c r="C633" s="3"/>
      <c r="D633" s="3"/>
      <c r="E633" s="3"/>
      <c r="F633" s="3"/>
      <c r="G633" s="3"/>
      <c r="H633" s="4"/>
      <c r="I633" s="5"/>
      <c r="J633" s="6"/>
      <c r="K633" s="3"/>
      <c r="L633" s="6"/>
      <c r="M633" s="6" t="str">
        <f>IF(OR(K633="",K633="Pending"),"",L633-J633)</f>
        <v> </v>
      </c>
      <c r="N633" s="6" t="str">
        <f>IF(M633="","",'Summary'!$B$4+SUM($M$2:M633))</f>
        <v> </v>
      </c>
    </row>
    <row r="634" spans="1:14">
      <c r="A634" s="2"/>
      <c r="B634" s="3"/>
      <c r="C634" s="3"/>
      <c r="D634" s="3"/>
      <c r="E634" s="3"/>
      <c r="F634" s="3"/>
      <c r="G634" s="3"/>
      <c r="H634" s="4"/>
      <c r="I634" s="5"/>
      <c r="J634" s="6"/>
      <c r="K634" s="3"/>
      <c r="L634" s="6"/>
      <c r="M634" s="6" t="str">
        <f>IF(OR(K634="",K634="Pending"),"",L634-J634)</f>
        <v> </v>
      </c>
      <c r="N634" s="6" t="str">
        <f>IF(M634="","",'Summary'!$B$4+SUM($M$2:M634))</f>
        <v> </v>
      </c>
    </row>
    <row r="635" spans="1:14">
      <c r="A635" s="2"/>
      <c r="B635" s="3"/>
      <c r="C635" s="3"/>
      <c r="D635" s="3"/>
      <c r="E635" s="3"/>
      <c r="F635" s="3"/>
      <c r="G635" s="3"/>
      <c r="H635" s="4"/>
      <c r="I635" s="5"/>
      <c r="J635" s="6"/>
      <c r="K635" s="3"/>
      <c r="L635" s="6"/>
      <c r="M635" s="6" t="str">
        <f>IF(OR(K635="",K635="Pending"),"",L635-J635)</f>
        <v> </v>
      </c>
      <c r="N635" s="6" t="str">
        <f>IF(M635="","",'Summary'!$B$4+SUM($M$2:M635))</f>
        <v> </v>
      </c>
    </row>
    <row r="636" spans="1:14">
      <c r="A636" s="2"/>
      <c r="B636" s="3"/>
      <c r="C636" s="3"/>
      <c r="D636" s="3"/>
      <c r="E636" s="3"/>
      <c r="F636" s="3"/>
      <c r="G636" s="3"/>
      <c r="H636" s="4"/>
      <c r="I636" s="5"/>
      <c r="J636" s="6"/>
      <c r="K636" s="3"/>
      <c r="L636" s="6"/>
      <c r="M636" s="6" t="str">
        <f>IF(OR(K636="",K636="Pending"),"",L636-J636)</f>
        <v> </v>
      </c>
      <c r="N636" s="6" t="str">
        <f>IF(M636="","",'Summary'!$B$4+SUM($M$2:M636))</f>
        <v> </v>
      </c>
    </row>
    <row r="637" spans="1:14">
      <c r="A637" s="2"/>
      <c r="B637" s="3"/>
      <c r="C637" s="3"/>
      <c r="D637" s="3"/>
      <c r="E637" s="3"/>
      <c r="F637" s="3"/>
      <c r="G637" s="3"/>
      <c r="H637" s="4"/>
      <c r="I637" s="5"/>
      <c r="J637" s="6"/>
      <c r="K637" s="3"/>
      <c r="L637" s="6"/>
      <c r="M637" s="6" t="str">
        <f>IF(OR(K637="",K637="Pending"),"",L637-J637)</f>
        <v> </v>
      </c>
      <c r="N637" s="6" t="str">
        <f>IF(M637="","",'Summary'!$B$4+SUM($M$2:M637))</f>
        <v> </v>
      </c>
    </row>
    <row r="638" spans="1:14">
      <c r="A638" s="2"/>
      <c r="B638" s="3"/>
      <c r="C638" s="3"/>
      <c r="D638" s="3"/>
      <c r="E638" s="3"/>
      <c r="F638" s="3"/>
      <c r="G638" s="3"/>
      <c r="H638" s="4"/>
      <c r="I638" s="5"/>
      <c r="J638" s="6"/>
      <c r="K638" s="3"/>
      <c r="L638" s="6"/>
      <c r="M638" s="6" t="str">
        <f>IF(OR(K638="",K638="Pending"),"",L638-J638)</f>
        <v> </v>
      </c>
      <c r="N638" s="6" t="str">
        <f>IF(M638="","",'Summary'!$B$4+SUM($M$2:M638))</f>
        <v> </v>
      </c>
    </row>
    <row r="639" spans="1:14">
      <c r="A639" s="2"/>
      <c r="B639" s="3"/>
      <c r="C639" s="3"/>
      <c r="D639" s="3"/>
      <c r="E639" s="3"/>
      <c r="F639" s="3"/>
      <c r="G639" s="3"/>
      <c r="H639" s="4"/>
      <c r="I639" s="5"/>
      <c r="J639" s="6"/>
      <c r="K639" s="3"/>
      <c r="L639" s="6"/>
      <c r="M639" s="6" t="str">
        <f>IF(OR(K639="",K639="Pending"),"",L639-J639)</f>
        <v> </v>
      </c>
      <c r="N639" s="6" t="str">
        <f>IF(M639="","",'Summary'!$B$4+SUM($M$2:M639))</f>
        <v> </v>
      </c>
    </row>
    <row r="640" spans="1:14">
      <c r="A640" s="2"/>
      <c r="B640" s="3"/>
      <c r="C640" s="3"/>
      <c r="D640" s="3"/>
      <c r="E640" s="3"/>
      <c r="F640" s="3"/>
      <c r="G640" s="3"/>
      <c r="H640" s="4"/>
      <c r="I640" s="5"/>
      <c r="J640" s="6"/>
      <c r="K640" s="3"/>
      <c r="L640" s="6"/>
      <c r="M640" s="6" t="str">
        <f>IF(OR(K640="",K640="Pending"),"",L640-J640)</f>
        <v> </v>
      </c>
      <c r="N640" s="6" t="str">
        <f>IF(M640="","",'Summary'!$B$4+SUM($M$2:M640))</f>
        <v> </v>
      </c>
    </row>
    <row r="641" spans="1:14">
      <c r="A641" s="2"/>
      <c r="B641" s="3"/>
      <c r="C641" s="3"/>
      <c r="D641" s="3"/>
      <c r="E641" s="3"/>
      <c r="F641" s="3"/>
      <c r="G641" s="3"/>
      <c r="H641" s="4"/>
      <c r="I641" s="5"/>
      <c r="J641" s="6"/>
      <c r="K641" s="3"/>
      <c r="L641" s="6"/>
      <c r="M641" s="6" t="str">
        <f>IF(OR(K641="",K641="Pending"),"",L641-J641)</f>
        <v> </v>
      </c>
      <c r="N641" s="6" t="str">
        <f>IF(M641="","",'Summary'!$B$4+SUM($M$2:M641))</f>
        <v> </v>
      </c>
    </row>
    <row r="642" spans="1:14">
      <c r="A642" s="2"/>
      <c r="B642" s="3"/>
      <c r="C642" s="3"/>
      <c r="D642" s="3"/>
      <c r="E642" s="3"/>
      <c r="F642" s="3"/>
      <c r="G642" s="3"/>
      <c r="H642" s="4"/>
      <c r="I642" s="5"/>
      <c r="J642" s="6"/>
      <c r="K642" s="3"/>
      <c r="L642" s="6"/>
      <c r="M642" s="6" t="str">
        <f>IF(OR(K642="",K642="Pending"),"",L642-J642)</f>
        <v> </v>
      </c>
      <c r="N642" s="6" t="str">
        <f>IF(M642="","",'Summary'!$B$4+SUM($M$2:M642))</f>
        <v> </v>
      </c>
    </row>
    <row r="643" spans="1:14">
      <c r="A643" s="2"/>
      <c r="B643" s="3"/>
      <c r="C643" s="3"/>
      <c r="D643" s="3"/>
      <c r="E643" s="3"/>
      <c r="F643" s="3"/>
      <c r="G643" s="3"/>
      <c r="H643" s="4"/>
      <c r="I643" s="5"/>
      <c r="J643" s="6"/>
      <c r="K643" s="3"/>
      <c r="L643" s="6"/>
      <c r="M643" s="6" t="str">
        <f>IF(OR(K643="",K643="Pending"),"",L643-J643)</f>
        <v> </v>
      </c>
      <c r="N643" s="6" t="str">
        <f>IF(M643="","",'Summary'!$B$4+SUM($M$2:M643))</f>
        <v> </v>
      </c>
    </row>
    <row r="644" spans="1:14">
      <c r="A644" s="2"/>
      <c r="B644" s="3"/>
      <c r="C644" s="3"/>
      <c r="D644" s="3"/>
      <c r="E644" s="3"/>
      <c r="F644" s="3"/>
      <c r="G644" s="3"/>
      <c r="H644" s="4"/>
      <c r="I644" s="5"/>
      <c r="J644" s="6"/>
      <c r="K644" s="3"/>
      <c r="L644" s="6"/>
      <c r="M644" s="6" t="str">
        <f>IF(OR(K644="",K644="Pending"),"",L644-J644)</f>
        <v> </v>
      </c>
      <c r="N644" s="6" t="str">
        <f>IF(M644="","",'Summary'!$B$4+SUM($M$2:M644))</f>
        <v> </v>
      </c>
    </row>
    <row r="645" spans="1:14">
      <c r="A645" s="2"/>
      <c r="B645" s="3"/>
      <c r="C645" s="3"/>
      <c r="D645" s="3"/>
      <c r="E645" s="3"/>
      <c r="F645" s="3"/>
      <c r="G645" s="3"/>
      <c r="H645" s="4"/>
      <c r="I645" s="5"/>
      <c r="J645" s="6"/>
      <c r="K645" s="3"/>
      <c r="L645" s="6"/>
      <c r="M645" s="6" t="str">
        <f>IF(OR(K645="",K645="Pending"),"",L645-J645)</f>
        <v> </v>
      </c>
      <c r="N645" s="6" t="str">
        <f>IF(M645="","",'Summary'!$B$4+SUM($M$2:M645))</f>
        <v> </v>
      </c>
    </row>
    <row r="646" spans="1:14">
      <c r="A646" s="2"/>
      <c r="B646" s="3"/>
      <c r="C646" s="3"/>
      <c r="D646" s="3"/>
      <c r="E646" s="3"/>
      <c r="F646" s="3"/>
      <c r="G646" s="3"/>
      <c r="H646" s="4"/>
      <c r="I646" s="5"/>
      <c r="J646" s="6"/>
      <c r="K646" s="3"/>
      <c r="L646" s="6"/>
      <c r="M646" s="6" t="str">
        <f>IF(OR(K646="",K646="Pending"),"",L646-J646)</f>
        <v> </v>
      </c>
      <c r="N646" s="6" t="str">
        <f>IF(M646="","",'Summary'!$B$4+SUM($M$2:M646))</f>
        <v> </v>
      </c>
    </row>
    <row r="647" spans="1:14">
      <c r="A647" s="2"/>
      <c r="B647" s="3"/>
      <c r="C647" s="3"/>
      <c r="D647" s="3"/>
      <c r="E647" s="3"/>
      <c r="F647" s="3"/>
      <c r="G647" s="3"/>
      <c r="H647" s="4"/>
      <c r="I647" s="5"/>
      <c r="J647" s="6"/>
      <c r="K647" s="3"/>
      <c r="L647" s="6"/>
      <c r="M647" s="6" t="str">
        <f>IF(OR(K647="",K647="Pending"),"",L647-J647)</f>
        <v> </v>
      </c>
      <c r="N647" s="6" t="str">
        <f>IF(M647="","",'Summary'!$B$4+SUM($M$2:M647))</f>
        <v> </v>
      </c>
    </row>
    <row r="648" spans="1:14">
      <c r="A648" s="2"/>
      <c r="B648" s="3"/>
      <c r="C648" s="3"/>
      <c r="D648" s="3"/>
      <c r="E648" s="3"/>
      <c r="F648" s="3"/>
      <c r="G648" s="3"/>
      <c r="H648" s="4"/>
      <c r="I648" s="5"/>
      <c r="J648" s="6"/>
      <c r="K648" s="3"/>
      <c r="L648" s="6"/>
      <c r="M648" s="6" t="str">
        <f>IF(OR(K648="",K648="Pending"),"",L648-J648)</f>
        <v> </v>
      </c>
      <c r="N648" s="6" t="str">
        <f>IF(M648="","",'Summary'!$B$4+SUM($M$2:M648))</f>
        <v> </v>
      </c>
    </row>
    <row r="649" spans="1:14">
      <c r="A649" s="2"/>
      <c r="B649" s="3"/>
      <c r="C649" s="3"/>
      <c r="D649" s="3"/>
      <c r="E649" s="3"/>
      <c r="F649" s="3"/>
      <c r="G649" s="3"/>
      <c r="H649" s="4"/>
      <c r="I649" s="5"/>
      <c r="J649" s="6"/>
      <c r="K649" s="3"/>
      <c r="L649" s="6"/>
      <c r="M649" s="6" t="str">
        <f>IF(OR(K649="",K649="Pending"),"",L649-J649)</f>
        <v> </v>
      </c>
      <c r="N649" s="6" t="str">
        <f>IF(M649="","",'Summary'!$B$4+SUM($M$2:M649))</f>
        <v> </v>
      </c>
    </row>
    <row r="650" spans="1:14">
      <c r="A650" s="2"/>
      <c r="B650" s="3"/>
      <c r="C650" s="3"/>
      <c r="D650" s="3"/>
      <c r="E650" s="3"/>
      <c r="F650" s="3"/>
      <c r="G650" s="3"/>
      <c r="H650" s="4"/>
      <c r="I650" s="5"/>
      <c r="J650" s="6"/>
      <c r="K650" s="3"/>
      <c r="L650" s="6"/>
      <c r="M650" s="6" t="str">
        <f>IF(OR(K650="",K650="Pending"),"",L650-J650)</f>
        <v> </v>
      </c>
      <c r="N650" s="6" t="str">
        <f>IF(M650="","",'Summary'!$B$4+SUM($M$2:M650))</f>
        <v> </v>
      </c>
    </row>
    <row r="651" spans="1:14">
      <c r="A651" s="2"/>
      <c r="B651" s="3"/>
      <c r="C651" s="3"/>
      <c r="D651" s="3"/>
      <c r="E651" s="3"/>
      <c r="F651" s="3"/>
      <c r="G651" s="3"/>
      <c r="H651" s="4"/>
      <c r="I651" s="5"/>
      <c r="J651" s="6"/>
      <c r="K651" s="3"/>
      <c r="L651" s="6"/>
      <c r="M651" s="6" t="str">
        <f>IF(OR(K651="",K651="Pending"),"",L651-J651)</f>
        <v> </v>
      </c>
      <c r="N651" s="6" t="str">
        <f>IF(M651="","",'Summary'!$B$4+SUM($M$2:M651))</f>
        <v> </v>
      </c>
    </row>
    <row r="652" spans="1:14">
      <c r="A652" s="2"/>
      <c r="B652" s="3"/>
      <c r="C652" s="3"/>
      <c r="D652" s="3"/>
      <c r="E652" s="3"/>
      <c r="F652" s="3"/>
      <c r="G652" s="3"/>
      <c r="H652" s="4"/>
      <c r="I652" s="5"/>
      <c r="J652" s="6"/>
      <c r="K652" s="3"/>
      <c r="L652" s="6"/>
      <c r="M652" s="6" t="str">
        <f>IF(OR(K652="",K652="Pending"),"",L652-J652)</f>
        <v> </v>
      </c>
      <c r="N652" s="6" t="str">
        <f>IF(M652="","",'Summary'!$B$4+SUM($M$2:M652))</f>
        <v> </v>
      </c>
    </row>
    <row r="653" spans="1:14">
      <c r="A653" s="2"/>
      <c r="B653" s="3"/>
      <c r="C653" s="3"/>
      <c r="D653" s="3"/>
      <c r="E653" s="3"/>
      <c r="F653" s="3"/>
      <c r="G653" s="3"/>
      <c r="H653" s="4"/>
      <c r="I653" s="5"/>
      <c r="J653" s="6"/>
      <c r="K653" s="3"/>
      <c r="L653" s="6"/>
      <c r="M653" s="6" t="str">
        <f>IF(OR(K653="",K653="Pending"),"",L653-J653)</f>
        <v> </v>
      </c>
      <c r="N653" s="6" t="str">
        <f>IF(M653="","",'Summary'!$B$4+SUM($M$2:M653))</f>
        <v> </v>
      </c>
    </row>
    <row r="654" spans="1:14">
      <c r="A654" s="2"/>
      <c r="B654" s="3"/>
      <c r="C654" s="3"/>
      <c r="D654" s="3"/>
      <c r="E654" s="3"/>
      <c r="F654" s="3"/>
      <c r="G654" s="3"/>
      <c r="H654" s="4"/>
      <c r="I654" s="5"/>
      <c r="J654" s="6"/>
      <c r="K654" s="3"/>
      <c r="L654" s="6"/>
      <c r="M654" s="6" t="str">
        <f>IF(OR(K654="",K654="Pending"),"",L654-J654)</f>
        <v> </v>
      </c>
      <c r="N654" s="6" t="str">
        <f>IF(M654="","",'Summary'!$B$4+SUM($M$2:M654))</f>
        <v> </v>
      </c>
    </row>
    <row r="655" spans="1:14">
      <c r="A655" s="2"/>
      <c r="B655" s="3"/>
      <c r="C655" s="3"/>
      <c r="D655" s="3"/>
      <c r="E655" s="3"/>
      <c r="F655" s="3"/>
      <c r="G655" s="3"/>
      <c r="H655" s="4"/>
      <c r="I655" s="5"/>
      <c r="J655" s="6"/>
      <c r="K655" s="3"/>
      <c r="L655" s="6"/>
      <c r="M655" s="6" t="str">
        <f>IF(OR(K655="",K655="Pending"),"",L655-J655)</f>
        <v> </v>
      </c>
      <c r="N655" s="6" t="str">
        <f>IF(M655="","",'Summary'!$B$4+SUM($M$2:M655))</f>
        <v> </v>
      </c>
    </row>
    <row r="656" spans="1:14">
      <c r="A656" s="2"/>
      <c r="B656" s="3"/>
      <c r="C656" s="3"/>
      <c r="D656" s="3"/>
      <c r="E656" s="3"/>
      <c r="F656" s="3"/>
      <c r="G656" s="3"/>
      <c r="H656" s="4"/>
      <c r="I656" s="5"/>
      <c r="J656" s="6"/>
      <c r="K656" s="3"/>
      <c r="L656" s="6"/>
      <c r="M656" s="6" t="str">
        <f>IF(OR(K656="",K656="Pending"),"",L656-J656)</f>
        <v> </v>
      </c>
      <c r="N656" s="6" t="str">
        <f>IF(M656="","",'Summary'!$B$4+SUM($M$2:M656))</f>
        <v> </v>
      </c>
    </row>
    <row r="657" spans="1:14">
      <c r="A657" s="2"/>
      <c r="B657" s="3"/>
      <c r="C657" s="3"/>
      <c r="D657" s="3"/>
      <c r="E657" s="3"/>
      <c r="F657" s="3"/>
      <c r="G657" s="3"/>
      <c r="H657" s="4"/>
      <c r="I657" s="5"/>
      <c r="J657" s="6"/>
      <c r="K657" s="3"/>
      <c r="L657" s="6"/>
      <c r="M657" s="6" t="str">
        <f>IF(OR(K657="",K657="Pending"),"",L657-J657)</f>
        <v> </v>
      </c>
      <c r="N657" s="6" t="str">
        <f>IF(M657="","",'Summary'!$B$4+SUM($M$2:M657))</f>
        <v> </v>
      </c>
    </row>
    <row r="658" spans="1:14">
      <c r="A658" s="2"/>
      <c r="B658" s="3"/>
      <c r="C658" s="3"/>
      <c r="D658" s="3"/>
      <c r="E658" s="3"/>
      <c r="F658" s="3"/>
      <c r="G658" s="3"/>
      <c r="H658" s="4"/>
      <c r="I658" s="5"/>
      <c r="J658" s="6"/>
      <c r="K658" s="3"/>
      <c r="L658" s="6"/>
      <c r="M658" s="6" t="str">
        <f>IF(OR(K658="",K658="Pending"),"",L658-J658)</f>
        <v> </v>
      </c>
      <c r="N658" s="6" t="str">
        <f>IF(M658="","",'Summary'!$B$4+SUM($M$2:M658))</f>
        <v> </v>
      </c>
    </row>
    <row r="659" spans="1:14">
      <c r="A659" s="2"/>
      <c r="B659" s="3"/>
      <c r="C659" s="3"/>
      <c r="D659" s="3"/>
      <c r="E659" s="3"/>
      <c r="F659" s="3"/>
      <c r="G659" s="3"/>
      <c r="H659" s="4"/>
      <c r="I659" s="5"/>
      <c r="J659" s="6"/>
      <c r="K659" s="3"/>
      <c r="L659" s="6"/>
      <c r="M659" s="6" t="str">
        <f>IF(OR(K659="",K659="Pending"),"",L659-J659)</f>
        <v> </v>
      </c>
      <c r="N659" s="6" t="str">
        <f>IF(M659="","",'Summary'!$B$4+SUM($M$2:M659))</f>
        <v> </v>
      </c>
    </row>
    <row r="660" spans="1:14">
      <c r="A660" s="2"/>
      <c r="B660" s="3"/>
      <c r="C660" s="3"/>
      <c r="D660" s="3"/>
      <c r="E660" s="3"/>
      <c r="F660" s="3"/>
      <c r="G660" s="3"/>
      <c r="H660" s="4"/>
      <c r="I660" s="5"/>
      <c r="J660" s="6"/>
      <c r="K660" s="3"/>
      <c r="L660" s="6"/>
      <c r="M660" s="6" t="str">
        <f>IF(OR(K660="",K660="Pending"),"",L660-J660)</f>
        <v> </v>
      </c>
      <c r="N660" s="6" t="str">
        <f>IF(M660="","",'Summary'!$B$4+SUM($M$2:M660))</f>
        <v> </v>
      </c>
    </row>
    <row r="661" spans="1:14">
      <c r="A661" s="2"/>
      <c r="B661" s="3"/>
      <c r="C661" s="3"/>
      <c r="D661" s="3"/>
      <c r="E661" s="3"/>
      <c r="F661" s="3"/>
      <c r="G661" s="3"/>
      <c r="H661" s="4"/>
      <c r="I661" s="5"/>
      <c r="J661" s="6"/>
      <c r="K661" s="3"/>
      <c r="L661" s="6"/>
      <c r="M661" s="6" t="str">
        <f>IF(OR(K661="",K661="Pending"),"",L661-J661)</f>
        <v> </v>
      </c>
      <c r="N661" s="6" t="str">
        <f>IF(M661="","",'Summary'!$B$4+SUM($M$2:M661))</f>
        <v> </v>
      </c>
    </row>
    <row r="662" spans="1:14">
      <c r="A662" s="2"/>
      <c r="B662" s="3"/>
      <c r="C662" s="3"/>
      <c r="D662" s="3"/>
      <c r="E662" s="3"/>
      <c r="F662" s="3"/>
      <c r="G662" s="3"/>
      <c r="H662" s="4"/>
      <c r="I662" s="5"/>
      <c r="J662" s="6"/>
      <c r="K662" s="3"/>
      <c r="L662" s="6"/>
      <c r="M662" s="6" t="str">
        <f>IF(OR(K662="",K662="Pending"),"",L662-J662)</f>
        <v> </v>
      </c>
      <c r="N662" s="6" t="str">
        <f>IF(M662="","",'Summary'!$B$4+SUM($M$2:M662))</f>
        <v> </v>
      </c>
    </row>
    <row r="663" spans="1:14">
      <c r="A663" s="2"/>
      <c r="B663" s="3"/>
      <c r="C663" s="3"/>
      <c r="D663" s="3"/>
      <c r="E663" s="3"/>
      <c r="F663" s="3"/>
      <c r="G663" s="3"/>
      <c r="H663" s="4"/>
      <c r="I663" s="5"/>
      <c r="J663" s="6"/>
      <c r="K663" s="3"/>
      <c r="L663" s="6"/>
      <c r="M663" s="6" t="str">
        <f>IF(OR(K663="",K663="Pending"),"",L663-J663)</f>
        <v> </v>
      </c>
      <c r="N663" s="6" t="str">
        <f>IF(M663="","",'Summary'!$B$4+SUM($M$2:M663))</f>
        <v> </v>
      </c>
    </row>
    <row r="664" spans="1:14">
      <c r="A664" s="2"/>
      <c r="B664" s="3"/>
      <c r="C664" s="3"/>
      <c r="D664" s="3"/>
      <c r="E664" s="3"/>
      <c r="F664" s="3"/>
      <c r="G664" s="3"/>
      <c r="H664" s="4"/>
      <c r="I664" s="5"/>
      <c r="J664" s="6"/>
      <c r="K664" s="3"/>
      <c r="L664" s="6"/>
      <c r="M664" s="6" t="str">
        <f>IF(OR(K664="",K664="Pending"),"",L664-J664)</f>
        <v> </v>
      </c>
      <c r="N664" s="6" t="str">
        <f>IF(M664="","",'Summary'!$B$4+SUM($M$2:M664))</f>
        <v> </v>
      </c>
    </row>
    <row r="665" spans="1:14">
      <c r="A665" s="2"/>
      <c r="B665" s="3"/>
      <c r="C665" s="3"/>
      <c r="D665" s="3"/>
      <c r="E665" s="3"/>
      <c r="F665" s="3"/>
      <c r="G665" s="3"/>
      <c r="H665" s="4"/>
      <c r="I665" s="5"/>
      <c r="J665" s="6"/>
      <c r="K665" s="3"/>
      <c r="L665" s="6"/>
      <c r="M665" s="6" t="str">
        <f>IF(OR(K665="",K665="Pending"),"",L665-J665)</f>
        <v> </v>
      </c>
      <c r="N665" s="6" t="str">
        <f>IF(M665="","",'Summary'!$B$4+SUM($M$2:M665))</f>
        <v> </v>
      </c>
    </row>
    <row r="666" spans="1:14">
      <c r="A666" s="2"/>
      <c r="B666" s="3"/>
      <c r="C666" s="3"/>
      <c r="D666" s="3"/>
      <c r="E666" s="3"/>
      <c r="F666" s="3"/>
      <c r="G666" s="3"/>
      <c r="H666" s="4"/>
      <c r="I666" s="5"/>
      <c r="J666" s="6"/>
      <c r="K666" s="3"/>
      <c r="L666" s="6"/>
      <c r="M666" s="6" t="str">
        <f>IF(OR(K666="",K666="Pending"),"",L666-J666)</f>
        <v> </v>
      </c>
      <c r="N666" s="6" t="str">
        <f>IF(M666="","",'Summary'!$B$4+SUM($M$2:M666))</f>
        <v> </v>
      </c>
    </row>
    <row r="667" spans="1:14">
      <c r="A667" s="2"/>
      <c r="B667" s="3"/>
      <c r="C667" s="3"/>
      <c r="D667" s="3"/>
      <c r="E667" s="3"/>
      <c r="F667" s="3"/>
      <c r="G667" s="3"/>
      <c r="H667" s="4"/>
      <c r="I667" s="5"/>
      <c r="J667" s="6"/>
      <c r="K667" s="3"/>
      <c r="L667" s="6"/>
      <c r="M667" s="6" t="str">
        <f>IF(OR(K667="",K667="Pending"),"",L667-J667)</f>
        <v> </v>
      </c>
      <c r="N667" s="6" t="str">
        <f>IF(M667="","",'Summary'!$B$4+SUM($M$2:M667))</f>
        <v> </v>
      </c>
    </row>
    <row r="668" spans="1:14">
      <c r="A668" s="2"/>
      <c r="B668" s="3"/>
      <c r="C668" s="3"/>
      <c r="D668" s="3"/>
      <c r="E668" s="3"/>
      <c r="F668" s="3"/>
      <c r="G668" s="3"/>
      <c r="H668" s="4"/>
      <c r="I668" s="5"/>
      <c r="J668" s="6"/>
      <c r="K668" s="3"/>
      <c r="L668" s="6"/>
      <c r="M668" s="6" t="str">
        <f>IF(OR(K668="",K668="Pending"),"",L668-J668)</f>
        <v> </v>
      </c>
      <c r="N668" s="6" t="str">
        <f>IF(M668="","",'Summary'!$B$4+SUM($M$2:M668))</f>
        <v> </v>
      </c>
    </row>
    <row r="669" spans="1:14">
      <c r="A669" s="2"/>
      <c r="B669" s="3"/>
      <c r="C669" s="3"/>
      <c r="D669" s="3"/>
      <c r="E669" s="3"/>
      <c r="F669" s="3"/>
      <c r="G669" s="3"/>
      <c r="H669" s="4"/>
      <c r="I669" s="5"/>
      <c r="J669" s="6"/>
      <c r="K669" s="3"/>
      <c r="L669" s="6"/>
      <c r="M669" s="6" t="str">
        <f>IF(OR(K669="",K669="Pending"),"",L669-J669)</f>
        <v> </v>
      </c>
      <c r="N669" s="6" t="str">
        <f>IF(M669="","",'Summary'!$B$4+SUM($M$2:M669))</f>
        <v> </v>
      </c>
    </row>
    <row r="670" spans="1:14">
      <c r="A670" s="2"/>
      <c r="B670" s="3"/>
      <c r="C670" s="3"/>
      <c r="D670" s="3"/>
      <c r="E670" s="3"/>
      <c r="F670" s="3"/>
      <c r="G670" s="3"/>
      <c r="H670" s="4"/>
      <c r="I670" s="5"/>
      <c r="J670" s="6"/>
      <c r="K670" s="3"/>
      <c r="L670" s="6"/>
      <c r="M670" s="6" t="str">
        <f>IF(OR(K670="",K670="Pending"),"",L670-J670)</f>
        <v> </v>
      </c>
      <c r="N670" s="6" t="str">
        <f>IF(M670="","",'Summary'!$B$4+SUM($M$2:M670))</f>
        <v> </v>
      </c>
    </row>
    <row r="671" spans="1:14">
      <c r="A671" s="2"/>
      <c r="B671" s="3"/>
      <c r="C671" s="3"/>
      <c r="D671" s="3"/>
      <c r="E671" s="3"/>
      <c r="F671" s="3"/>
      <c r="G671" s="3"/>
      <c r="H671" s="4"/>
      <c r="I671" s="5"/>
      <c r="J671" s="6"/>
      <c r="K671" s="3"/>
      <c r="L671" s="6"/>
      <c r="M671" s="6" t="str">
        <f>IF(OR(K671="",K671="Pending"),"",L671-J671)</f>
        <v> </v>
      </c>
      <c r="N671" s="6" t="str">
        <f>IF(M671="","",'Summary'!$B$4+SUM($M$2:M671))</f>
        <v> </v>
      </c>
    </row>
    <row r="672" spans="1:14">
      <c r="A672" s="2"/>
      <c r="B672" s="3"/>
      <c r="C672" s="3"/>
      <c r="D672" s="3"/>
      <c r="E672" s="3"/>
      <c r="F672" s="3"/>
      <c r="G672" s="3"/>
      <c r="H672" s="4"/>
      <c r="I672" s="5"/>
      <c r="J672" s="6"/>
      <c r="K672" s="3"/>
      <c r="L672" s="6"/>
      <c r="M672" s="6" t="str">
        <f>IF(OR(K672="",K672="Pending"),"",L672-J672)</f>
        <v> </v>
      </c>
      <c r="N672" s="6" t="str">
        <f>IF(M672="","",'Summary'!$B$4+SUM($M$2:M672))</f>
        <v> </v>
      </c>
    </row>
    <row r="673" spans="1:14">
      <c r="A673" s="2"/>
      <c r="B673" s="3"/>
      <c r="C673" s="3"/>
      <c r="D673" s="3"/>
      <c r="E673" s="3"/>
      <c r="F673" s="3"/>
      <c r="G673" s="3"/>
      <c r="H673" s="4"/>
      <c r="I673" s="5"/>
      <c r="J673" s="6"/>
      <c r="K673" s="3"/>
      <c r="L673" s="6"/>
      <c r="M673" s="6" t="str">
        <f>IF(OR(K673="",K673="Pending"),"",L673-J673)</f>
        <v> </v>
      </c>
      <c r="N673" s="6" t="str">
        <f>IF(M673="","",'Summary'!$B$4+SUM($M$2:M673))</f>
        <v> </v>
      </c>
    </row>
    <row r="674" spans="1:14">
      <c r="A674" s="2"/>
      <c r="B674" s="3"/>
      <c r="C674" s="3"/>
      <c r="D674" s="3"/>
      <c r="E674" s="3"/>
      <c r="F674" s="3"/>
      <c r="G674" s="3"/>
      <c r="H674" s="4"/>
      <c r="I674" s="5"/>
      <c r="J674" s="6"/>
      <c r="K674" s="3"/>
      <c r="L674" s="6"/>
      <c r="M674" s="6" t="str">
        <f>IF(OR(K674="",K674="Pending"),"",L674-J674)</f>
        <v> </v>
      </c>
      <c r="N674" s="6" t="str">
        <f>IF(M674="","",'Summary'!$B$4+SUM($M$2:M674))</f>
        <v> </v>
      </c>
    </row>
    <row r="675" spans="1:14">
      <c r="A675" s="2"/>
      <c r="B675" s="3"/>
      <c r="C675" s="3"/>
      <c r="D675" s="3"/>
      <c r="E675" s="3"/>
      <c r="F675" s="3"/>
      <c r="G675" s="3"/>
      <c r="H675" s="4"/>
      <c r="I675" s="5"/>
      <c r="J675" s="6"/>
      <c r="K675" s="3"/>
      <c r="L675" s="6"/>
      <c r="M675" s="6" t="str">
        <f>IF(OR(K675="",K675="Pending"),"",L675-J675)</f>
        <v> </v>
      </c>
      <c r="N675" s="6" t="str">
        <f>IF(M675="","",'Summary'!$B$4+SUM($M$2:M675))</f>
        <v> </v>
      </c>
    </row>
    <row r="676" spans="1:14">
      <c r="A676" s="2"/>
      <c r="B676" s="3"/>
      <c r="C676" s="3"/>
      <c r="D676" s="3"/>
      <c r="E676" s="3"/>
      <c r="F676" s="3"/>
      <c r="G676" s="3"/>
      <c r="H676" s="4"/>
      <c r="I676" s="5"/>
      <c r="J676" s="6"/>
      <c r="K676" s="3"/>
      <c r="L676" s="6"/>
      <c r="M676" s="6" t="str">
        <f>IF(OR(K676="",K676="Pending"),"",L676-J676)</f>
        <v> </v>
      </c>
      <c r="N676" s="6" t="str">
        <f>IF(M676="","",'Summary'!$B$4+SUM($M$2:M676))</f>
        <v> </v>
      </c>
    </row>
    <row r="677" spans="1:14">
      <c r="A677" s="2"/>
      <c r="B677" s="3"/>
      <c r="C677" s="3"/>
      <c r="D677" s="3"/>
      <c r="E677" s="3"/>
      <c r="F677" s="3"/>
      <c r="G677" s="3"/>
      <c r="H677" s="4"/>
      <c r="I677" s="5"/>
      <c r="J677" s="6"/>
      <c r="K677" s="3"/>
      <c r="L677" s="6"/>
      <c r="M677" s="6" t="str">
        <f>IF(OR(K677="",K677="Pending"),"",L677-J677)</f>
        <v> </v>
      </c>
      <c r="N677" s="6" t="str">
        <f>IF(M677="","",'Summary'!$B$4+SUM($M$2:M677))</f>
        <v> </v>
      </c>
    </row>
    <row r="678" spans="1:14">
      <c r="A678" s="2"/>
      <c r="B678" s="3"/>
      <c r="C678" s="3"/>
      <c r="D678" s="3"/>
      <c r="E678" s="3"/>
      <c r="F678" s="3"/>
      <c r="G678" s="3"/>
      <c r="H678" s="4"/>
      <c r="I678" s="5"/>
      <c r="J678" s="6"/>
      <c r="K678" s="3"/>
      <c r="L678" s="6"/>
      <c r="M678" s="6" t="str">
        <f>IF(OR(K678="",K678="Pending"),"",L678-J678)</f>
        <v> </v>
      </c>
      <c r="N678" s="6" t="str">
        <f>IF(M678="","",'Summary'!$B$4+SUM($M$2:M678))</f>
        <v> </v>
      </c>
    </row>
    <row r="679" spans="1:14">
      <c r="A679" s="2"/>
      <c r="B679" s="3"/>
      <c r="C679" s="3"/>
      <c r="D679" s="3"/>
      <c r="E679" s="3"/>
      <c r="F679" s="3"/>
      <c r="G679" s="3"/>
      <c r="H679" s="4"/>
      <c r="I679" s="5"/>
      <c r="J679" s="6"/>
      <c r="K679" s="3"/>
      <c r="L679" s="6"/>
      <c r="M679" s="6" t="str">
        <f>IF(OR(K679="",K679="Pending"),"",L679-J679)</f>
        <v> </v>
      </c>
      <c r="N679" s="6" t="str">
        <f>IF(M679="","",'Summary'!$B$4+SUM($M$2:M679))</f>
        <v> </v>
      </c>
    </row>
    <row r="680" spans="1:14">
      <c r="A680" s="2"/>
      <c r="B680" s="3"/>
      <c r="C680" s="3"/>
      <c r="D680" s="3"/>
      <c r="E680" s="3"/>
      <c r="F680" s="3"/>
      <c r="G680" s="3"/>
      <c r="H680" s="4"/>
      <c r="I680" s="5"/>
      <c r="J680" s="6"/>
      <c r="K680" s="3"/>
      <c r="L680" s="6"/>
      <c r="M680" s="6" t="str">
        <f>IF(OR(K680="",K680="Pending"),"",L680-J680)</f>
        <v> </v>
      </c>
      <c r="N680" s="6" t="str">
        <f>IF(M680="","",'Summary'!$B$4+SUM($M$2:M680))</f>
        <v> </v>
      </c>
    </row>
    <row r="681" spans="1:14">
      <c r="A681" s="2"/>
      <c r="B681" s="3"/>
      <c r="C681" s="3"/>
      <c r="D681" s="3"/>
      <c r="E681" s="3"/>
      <c r="F681" s="3"/>
      <c r="G681" s="3"/>
      <c r="H681" s="4"/>
      <c r="I681" s="5"/>
      <c r="J681" s="6"/>
      <c r="K681" s="3"/>
      <c r="L681" s="6"/>
      <c r="M681" s="6" t="str">
        <f>IF(OR(K681="",K681="Pending"),"",L681-J681)</f>
        <v> </v>
      </c>
      <c r="N681" s="6" t="str">
        <f>IF(M681="","",'Summary'!$B$4+SUM($M$2:M681))</f>
        <v> </v>
      </c>
    </row>
    <row r="682" spans="1:14">
      <c r="A682" s="2"/>
      <c r="B682" s="3"/>
      <c r="C682" s="3"/>
      <c r="D682" s="3"/>
      <c r="E682" s="3"/>
      <c r="F682" s="3"/>
      <c r="G682" s="3"/>
      <c r="H682" s="4"/>
      <c r="I682" s="5"/>
      <c r="J682" s="6"/>
      <c r="K682" s="3"/>
      <c r="L682" s="6"/>
      <c r="M682" s="6" t="str">
        <f>IF(OR(K682="",K682="Pending"),"",L682-J682)</f>
        <v> </v>
      </c>
      <c r="N682" s="6" t="str">
        <f>IF(M682="","",'Summary'!$B$4+SUM($M$2:M682))</f>
        <v> </v>
      </c>
    </row>
    <row r="683" spans="1:14">
      <c r="A683" s="2"/>
      <c r="B683" s="3"/>
      <c r="C683" s="3"/>
      <c r="D683" s="3"/>
      <c r="E683" s="3"/>
      <c r="F683" s="3"/>
      <c r="G683" s="3"/>
      <c r="H683" s="4"/>
      <c r="I683" s="5"/>
      <c r="J683" s="6"/>
      <c r="K683" s="3"/>
      <c r="L683" s="6"/>
      <c r="M683" s="6" t="str">
        <f>IF(OR(K683="",K683="Pending"),"",L683-J683)</f>
        <v> </v>
      </c>
      <c r="N683" s="6" t="str">
        <f>IF(M683="","",'Summary'!$B$4+SUM($M$2:M683))</f>
        <v> </v>
      </c>
    </row>
    <row r="684" spans="1:14">
      <c r="A684" s="2"/>
      <c r="B684" s="3"/>
      <c r="C684" s="3"/>
      <c r="D684" s="3"/>
      <c r="E684" s="3"/>
      <c r="F684" s="3"/>
      <c r="G684" s="3"/>
      <c r="H684" s="4"/>
      <c r="I684" s="5"/>
      <c r="J684" s="6"/>
      <c r="K684" s="3"/>
      <c r="L684" s="6"/>
      <c r="M684" s="6" t="str">
        <f>IF(OR(K684="",K684="Pending"),"",L684-J684)</f>
        <v> </v>
      </c>
      <c r="N684" s="6" t="str">
        <f>IF(M684="","",'Summary'!$B$4+SUM($M$2:M684))</f>
        <v> </v>
      </c>
    </row>
    <row r="685" spans="1:14">
      <c r="A685" s="2"/>
      <c r="B685" s="3"/>
      <c r="C685" s="3"/>
      <c r="D685" s="3"/>
      <c r="E685" s="3"/>
      <c r="F685" s="3"/>
      <c r="G685" s="3"/>
      <c r="H685" s="4"/>
      <c r="I685" s="5"/>
      <c r="J685" s="6"/>
      <c r="K685" s="3"/>
      <c r="L685" s="6"/>
      <c r="M685" s="6" t="str">
        <f>IF(OR(K685="",K685="Pending"),"",L685-J685)</f>
        <v> </v>
      </c>
      <c r="N685" s="6" t="str">
        <f>IF(M685="","",'Summary'!$B$4+SUM($M$2:M685))</f>
        <v> </v>
      </c>
    </row>
    <row r="686" spans="1:14">
      <c r="A686" s="2"/>
      <c r="B686" s="3"/>
      <c r="C686" s="3"/>
      <c r="D686" s="3"/>
      <c r="E686" s="3"/>
      <c r="F686" s="3"/>
      <c r="G686" s="3"/>
      <c r="H686" s="4"/>
      <c r="I686" s="5"/>
      <c r="J686" s="6"/>
      <c r="K686" s="3"/>
      <c r="L686" s="6"/>
      <c r="M686" s="6" t="str">
        <f>IF(OR(K686="",K686="Pending"),"",L686-J686)</f>
        <v> </v>
      </c>
      <c r="N686" s="6" t="str">
        <f>IF(M686="","",'Summary'!$B$4+SUM($M$2:M686))</f>
        <v> </v>
      </c>
    </row>
    <row r="687" spans="1:14">
      <c r="A687" s="2"/>
      <c r="B687" s="3"/>
      <c r="C687" s="3"/>
      <c r="D687" s="3"/>
      <c r="E687" s="3"/>
      <c r="F687" s="3"/>
      <c r="G687" s="3"/>
      <c r="H687" s="4"/>
      <c r="I687" s="5"/>
      <c r="J687" s="6"/>
      <c r="K687" s="3"/>
      <c r="L687" s="6"/>
      <c r="M687" s="6" t="str">
        <f>IF(OR(K687="",K687="Pending"),"",L687-J687)</f>
        <v> </v>
      </c>
      <c r="N687" s="6" t="str">
        <f>IF(M687="","",'Summary'!$B$4+SUM($M$2:M687))</f>
        <v> </v>
      </c>
    </row>
    <row r="688" spans="1:14">
      <c r="A688" s="2"/>
      <c r="B688" s="3"/>
      <c r="C688" s="3"/>
      <c r="D688" s="3"/>
      <c r="E688" s="3"/>
      <c r="F688" s="3"/>
      <c r="G688" s="3"/>
      <c r="H688" s="4"/>
      <c r="I688" s="5"/>
      <c r="J688" s="6"/>
      <c r="K688" s="3"/>
      <c r="L688" s="6"/>
      <c r="M688" s="6" t="str">
        <f>IF(OR(K688="",K688="Pending"),"",L688-J688)</f>
        <v> </v>
      </c>
      <c r="N688" s="6" t="str">
        <f>IF(M688="","",'Summary'!$B$4+SUM($M$2:M688))</f>
        <v> </v>
      </c>
    </row>
    <row r="689" spans="1:14">
      <c r="A689" s="2"/>
      <c r="B689" s="3"/>
      <c r="C689" s="3"/>
      <c r="D689" s="3"/>
      <c r="E689" s="3"/>
      <c r="F689" s="3"/>
      <c r="G689" s="3"/>
      <c r="H689" s="4"/>
      <c r="I689" s="5"/>
      <c r="J689" s="6"/>
      <c r="K689" s="3"/>
      <c r="L689" s="6"/>
      <c r="M689" s="6" t="str">
        <f>IF(OR(K689="",K689="Pending"),"",L689-J689)</f>
        <v> </v>
      </c>
      <c r="N689" s="6" t="str">
        <f>IF(M689="","",'Summary'!$B$4+SUM($M$2:M689))</f>
        <v> </v>
      </c>
    </row>
    <row r="690" spans="1:14">
      <c r="A690" s="2"/>
      <c r="B690" s="3"/>
      <c r="C690" s="3"/>
      <c r="D690" s="3"/>
      <c r="E690" s="3"/>
      <c r="F690" s="3"/>
      <c r="G690" s="3"/>
      <c r="H690" s="4"/>
      <c r="I690" s="5"/>
      <c r="J690" s="6"/>
      <c r="K690" s="3"/>
      <c r="L690" s="6"/>
      <c r="M690" s="6" t="str">
        <f>IF(OR(K690="",K690="Pending"),"",L690-J690)</f>
        <v> </v>
      </c>
      <c r="N690" s="6" t="str">
        <f>IF(M690="","",'Summary'!$B$4+SUM($M$2:M690))</f>
        <v> </v>
      </c>
    </row>
    <row r="691" spans="1:14">
      <c r="A691" s="2"/>
      <c r="B691" s="3"/>
      <c r="C691" s="3"/>
      <c r="D691" s="3"/>
      <c r="E691" s="3"/>
      <c r="F691" s="3"/>
      <c r="G691" s="3"/>
      <c r="H691" s="4"/>
      <c r="I691" s="5"/>
      <c r="J691" s="6"/>
      <c r="K691" s="3"/>
      <c r="L691" s="6"/>
      <c r="M691" s="6" t="str">
        <f>IF(OR(K691="",K691="Pending"),"",L691-J691)</f>
        <v> </v>
      </c>
      <c r="N691" s="6" t="str">
        <f>IF(M691="","",'Summary'!$B$4+SUM($M$2:M691))</f>
        <v> </v>
      </c>
    </row>
    <row r="692" spans="1:14">
      <c r="A692" s="2"/>
      <c r="B692" s="3"/>
      <c r="C692" s="3"/>
      <c r="D692" s="3"/>
      <c r="E692" s="3"/>
      <c r="F692" s="3"/>
      <c r="G692" s="3"/>
      <c r="H692" s="4"/>
      <c r="I692" s="5"/>
      <c r="J692" s="6"/>
      <c r="K692" s="3"/>
      <c r="L692" s="6"/>
      <c r="M692" s="6" t="str">
        <f>IF(OR(K692="",K692="Pending"),"",L692-J692)</f>
        <v> </v>
      </c>
      <c r="N692" s="6" t="str">
        <f>IF(M692="","",'Summary'!$B$4+SUM($M$2:M692))</f>
        <v> </v>
      </c>
    </row>
    <row r="693" spans="1:14">
      <c r="A693" s="2"/>
      <c r="B693" s="3"/>
      <c r="C693" s="3"/>
      <c r="D693" s="3"/>
      <c r="E693" s="3"/>
      <c r="F693" s="3"/>
      <c r="G693" s="3"/>
      <c r="H693" s="4"/>
      <c r="I693" s="5"/>
      <c r="J693" s="6"/>
      <c r="K693" s="3"/>
      <c r="L693" s="6"/>
      <c r="M693" s="6" t="str">
        <f>IF(OR(K693="",K693="Pending"),"",L693-J693)</f>
        <v> </v>
      </c>
      <c r="N693" s="6" t="str">
        <f>IF(M693="","",'Summary'!$B$4+SUM($M$2:M693))</f>
        <v> </v>
      </c>
    </row>
    <row r="694" spans="1:14">
      <c r="A694" s="2"/>
      <c r="B694" s="3"/>
      <c r="C694" s="3"/>
      <c r="D694" s="3"/>
      <c r="E694" s="3"/>
      <c r="F694" s="3"/>
      <c r="G694" s="3"/>
      <c r="H694" s="4"/>
      <c r="I694" s="5"/>
      <c r="J694" s="6"/>
      <c r="K694" s="3"/>
      <c r="L694" s="6"/>
      <c r="M694" s="6" t="str">
        <f>IF(OR(K694="",K694="Pending"),"",L694-J694)</f>
        <v> </v>
      </c>
      <c r="N694" s="6" t="str">
        <f>IF(M694="","",'Summary'!$B$4+SUM($M$2:M694))</f>
        <v> </v>
      </c>
    </row>
    <row r="695" spans="1:14">
      <c r="A695" s="2"/>
      <c r="B695" s="3"/>
      <c r="C695" s="3"/>
      <c r="D695" s="3"/>
      <c r="E695" s="3"/>
      <c r="F695" s="3"/>
      <c r="G695" s="3"/>
      <c r="H695" s="4"/>
      <c r="I695" s="5"/>
      <c r="J695" s="6"/>
      <c r="K695" s="3"/>
      <c r="L695" s="6"/>
      <c r="M695" s="6" t="str">
        <f>IF(OR(K695="",K695="Pending"),"",L695-J695)</f>
        <v> </v>
      </c>
      <c r="N695" s="6" t="str">
        <f>IF(M695="","",'Summary'!$B$4+SUM($M$2:M695))</f>
        <v> </v>
      </c>
    </row>
    <row r="696" spans="1:14">
      <c r="A696" s="2"/>
      <c r="B696" s="3"/>
      <c r="C696" s="3"/>
      <c r="D696" s="3"/>
      <c r="E696" s="3"/>
      <c r="F696" s="3"/>
      <c r="G696" s="3"/>
      <c r="H696" s="4"/>
      <c r="I696" s="5"/>
      <c r="J696" s="6"/>
      <c r="K696" s="3"/>
      <c r="L696" s="6"/>
      <c r="M696" s="6" t="str">
        <f>IF(OR(K696="",K696="Pending"),"",L696-J696)</f>
        <v> </v>
      </c>
      <c r="N696" s="6" t="str">
        <f>IF(M696="","",'Summary'!$B$4+SUM($M$2:M696))</f>
        <v> </v>
      </c>
    </row>
    <row r="697" spans="1:14">
      <c r="A697" s="2"/>
      <c r="B697" s="3"/>
      <c r="C697" s="3"/>
      <c r="D697" s="3"/>
      <c r="E697" s="3"/>
      <c r="F697" s="3"/>
      <c r="G697" s="3"/>
      <c r="H697" s="4"/>
      <c r="I697" s="5"/>
      <c r="J697" s="6"/>
      <c r="K697" s="3"/>
      <c r="L697" s="6"/>
      <c r="M697" s="6" t="str">
        <f>IF(OR(K697="",K697="Pending"),"",L697-J697)</f>
        <v> </v>
      </c>
      <c r="N697" s="6" t="str">
        <f>IF(M697="","",'Summary'!$B$4+SUM($M$2:M697))</f>
        <v> </v>
      </c>
    </row>
    <row r="698" spans="1:14">
      <c r="A698" s="2"/>
      <c r="B698" s="3"/>
      <c r="C698" s="3"/>
      <c r="D698" s="3"/>
      <c r="E698" s="3"/>
      <c r="F698" s="3"/>
      <c r="G698" s="3"/>
      <c r="H698" s="4"/>
      <c r="I698" s="5"/>
      <c r="J698" s="6"/>
      <c r="K698" s="3"/>
      <c r="L698" s="6"/>
      <c r="M698" s="6" t="str">
        <f>IF(OR(K698="",K698="Pending"),"",L698-J698)</f>
        <v> </v>
      </c>
      <c r="N698" s="6" t="str">
        <f>IF(M698="","",'Summary'!$B$4+SUM($M$2:M698))</f>
        <v> </v>
      </c>
    </row>
    <row r="699" spans="1:14">
      <c r="A699" s="2"/>
      <c r="B699" s="3"/>
      <c r="C699" s="3"/>
      <c r="D699" s="3"/>
      <c r="E699" s="3"/>
      <c r="F699" s="3"/>
      <c r="G699" s="3"/>
      <c r="H699" s="4"/>
      <c r="I699" s="5"/>
      <c r="J699" s="6"/>
      <c r="K699" s="3"/>
      <c r="L699" s="6"/>
      <c r="M699" s="6" t="str">
        <f>IF(OR(K699="",K699="Pending"),"",L699-J699)</f>
        <v> </v>
      </c>
      <c r="N699" s="6" t="str">
        <f>IF(M699="","",'Summary'!$B$4+SUM($M$2:M699))</f>
        <v> </v>
      </c>
    </row>
    <row r="700" spans="1:14">
      <c r="A700" s="2"/>
      <c r="B700" s="3"/>
      <c r="C700" s="3"/>
      <c r="D700" s="3"/>
      <c r="E700" s="3"/>
      <c r="F700" s="3"/>
      <c r="G700" s="3"/>
      <c r="H700" s="4"/>
      <c r="I700" s="5"/>
      <c r="J700" s="6"/>
      <c r="K700" s="3"/>
      <c r="L700" s="6"/>
      <c r="M700" s="6" t="str">
        <f>IF(OR(K700="",K700="Pending"),"",L700-J700)</f>
        <v> </v>
      </c>
      <c r="N700" s="6" t="str">
        <f>IF(M700="","",'Summary'!$B$4+SUM($M$2:M700))</f>
        <v> </v>
      </c>
    </row>
    <row r="701" spans="1:14">
      <c r="A701" s="2"/>
      <c r="B701" s="3"/>
      <c r="C701" s="3"/>
      <c r="D701" s="3"/>
      <c r="E701" s="3"/>
      <c r="F701" s="3"/>
      <c r="G701" s="3"/>
      <c r="H701" s="4"/>
      <c r="I701" s="5"/>
      <c r="J701" s="6"/>
      <c r="K701" s="3"/>
      <c r="L701" s="6"/>
      <c r="M701" s="6" t="str">
        <f>IF(OR(K701="",K701="Pending"),"",L701-J701)</f>
        <v> </v>
      </c>
      <c r="N701" s="6" t="str">
        <f>IF(M701="","",'Summary'!$B$4+SUM($M$2:M701))</f>
        <v> </v>
      </c>
    </row>
    <row r="702" spans="1:14">
      <c r="A702" s="2"/>
      <c r="B702" s="3"/>
      <c r="C702" s="3"/>
      <c r="D702" s="3"/>
      <c r="E702" s="3"/>
      <c r="F702" s="3"/>
      <c r="G702" s="3"/>
      <c r="H702" s="4"/>
      <c r="I702" s="5"/>
      <c r="J702" s="6"/>
      <c r="K702" s="3"/>
      <c r="L702" s="6"/>
      <c r="M702" s="6" t="str">
        <f>IF(OR(K702="",K702="Pending"),"",L702-J702)</f>
        <v> </v>
      </c>
      <c r="N702" s="6" t="str">
        <f>IF(M702="","",'Summary'!$B$4+SUM($M$2:M702))</f>
        <v> </v>
      </c>
    </row>
    <row r="703" spans="1:14">
      <c r="A703" s="2"/>
      <c r="B703" s="3"/>
      <c r="C703" s="3"/>
      <c r="D703" s="3"/>
      <c r="E703" s="3"/>
      <c r="F703" s="3"/>
      <c r="G703" s="3"/>
      <c r="H703" s="4"/>
      <c r="I703" s="5"/>
      <c r="J703" s="6"/>
      <c r="K703" s="3"/>
      <c r="L703" s="6"/>
      <c r="M703" s="6" t="str">
        <f>IF(OR(K703="",K703="Pending"),"",L703-J703)</f>
        <v> </v>
      </c>
      <c r="N703" s="6" t="str">
        <f>IF(M703="","",'Summary'!$B$4+SUM($M$2:M703))</f>
        <v> </v>
      </c>
    </row>
    <row r="704" spans="1:14">
      <c r="A704" s="2"/>
      <c r="B704" s="3"/>
      <c r="C704" s="3"/>
      <c r="D704" s="3"/>
      <c r="E704" s="3"/>
      <c r="F704" s="3"/>
      <c r="G704" s="3"/>
      <c r="H704" s="4"/>
      <c r="I704" s="5"/>
      <c r="J704" s="6"/>
      <c r="K704" s="3"/>
      <c r="L704" s="6"/>
      <c r="M704" s="6" t="str">
        <f>IF(OR(K704="",K704="Pending"),"",L704-J704)</f>
        <v> </v>
      </c>
      <c r="N704" s="6" t="str">
        <f>IF(M704="","",'Summary'!$B$4+SUM($M$2:M704))</f>
        <v> </v>
      </c>
    </row>
    <row r="705" spans="1:14">
      <c r="A705" s="2"/>
      <c r="B705" s="3"/>
      <c r="C705" s="3"/>
      <c r="D705" s="3"/>
      <c r="E705" s="3"/>
      <c r="F705" s="3"/>
      <c r="G705" s="3"/>
      <c r="H705" s="4"/>
      <c r="I705" s="5"/>
      <c r="J705" s="6"/>
      <c r="K705" s="3"/>
      <c r="L705" s="6"/>
      <c r="M705" s="6" t="str">
        <f>IF(OR(K705="",K705="Pending"),"",L705-J705)</f>
        <v> </v>
      </c>
      <c r="N705" s="6" t="str">
        <f>IF(M705="","",'Summary'!$B$4+SUM($M$2:M705))</f>
        <v> </v>
      </c>
    </row>
    <row r="706" spans="1:14">
      <c r="A706" s="2"/>
      <c r="B706" s="3"/>
      <c r="C706" s="3"/>
      <c r="D706" s="3"/>
      <c r="E706" s="3"/>
      <c r="F706" s="3"/>
      <c r="G706" s="3"/>
      <c r="H706" s="4"/>
      <c r="I706" s="5"/>
      <c r="J706" s="6"/>
      <c r="K706" s="3"/>
      <c r="L706" s="6"/>
      <c r="M706" s="6" t="str">
        <f>IF(OR(K706="",K706="Pending"),"",L706-J706)</f>
        <v> </v>
      </c>
      <c r="N706" s="6" t="str">
        <f>IF(M706="","",'Summary'!$B$4+SUM($M$2:M706))</f>
        <v> </v>
      </c>
    </row>
    <row r="707" spans="1:14">
      <c r="A707" s="2"/>
      <c r="B707" s="3"/>
      <c r="C707" s="3"/>
      <c r="D707" s="3"/>
      <c r="E707" s="3"/>
      <c r="F707" s="3"/>
      <c r="G707" s="3"/>
      <c r="H707" s="4"/>
      <c r="I707" s="5"/>
      <c r="J707" s="6"/>
      <c r="K707" s="3"/>
      <c r="L707" s="6"/>
      <c r="M707" s="6" t="str">
        <f>IF(OR(K707="",K707="Pending"),"",L707-J707)</f>
        <v> </v>
      </c>
      <c r="N707" s="6" t="str">
        <f>IF(M707="","",'Summary'!$B$4+SUM($M$2:M707))</f>
        <v> </v>
      </c>
    </row>
    <row r="708" spans="1:14">
      <c r="A708" s="2"/>
      <c r="B708" s="3"/>
      <c r="C708" s="3"/>
      <c r="D708" s="3"/>
      <c r="E708" s="3"/>
      <c r="F708" s="3"/>
      <c r="G708" s="3"/>
      <c r="H708" s="4"/>
      <c r="I708" s="5"/>
      <c r="J708" s="6"/>
      <c r="K708" s="3"/>
      <c r="L708" s="6"/>
      <c r="M708" s="6" t="str">
        <f>IF(OR(K708="",K708="Pending"),"",L708-J708)</f>
        <v> </v>
      </c>
      <c r="N708" s="6" t="str">
        <f>IF(M708="","",'Summary'!$B$4+SUM($M$2:M708))</f>
        <v> </v>
      </c>
    </row>
    <row r="709" spans="1:14">
      <c r="A709" s="2"/>
      <c r="B709" s="3"/>
      <c r="C709" s="3"/>
      <c r="D709" s="3"/>
      <c r="E709" s="3"/>
      <c r="F709" s="3"/>
      <c r="G709" s="3"/>
      <c r="H709" s="4"/>
      <c r="I709" s="5"/>
      <c r="J709" s="6"/>
      <c r="K709" s="3"/>
      <c r="L709" s="6"/>
      <c r="M709" s="6" t="str">
        <f>IF(OR(K709="",K709="Pending"),"",L709-J709)</f>
        <v> </v>
      </c>
      <c r="N709" s="6" t="str">
        <f>IF(M709="","",'Summary'!$B$4+SUM($M$2:M709))</f>
        <v> </v>
      </c>
    </row>
    <row r="710" spans="1:14">
      <c r="A710" s="2"/>
      <c r="B710" s="3"/>
      <c r="C710" s="3"/>
      <c r="D710" s="3"/>
      <c r="E710" s="3"/>
      <c r="F710" s="3"/>
      <c r="G710" s="3"/>
      <c r="H710" s="4"/>
      <c r="I710" s="5"/>
      <c r="J710" s="6"/>
      <c r="K710" s="3"/>
      <c r="L710" s="6"/>
      <c r="M710" s="6" t="str">
        <f>IF(OR(K710="",K710="Pending"),"",L710-J710)</f>
        <v> </v>
      </c>
      <c r="N710" s="6" t="str">
        <f>IF(M710="","",'Summary'!$B$4+SUM($M$2:M710))</f>
        <v> </v>
      </c>
    </row>
    <row r="711" spans="1:14">
      <c r="A711" s="2"/>
      <c r="B711" s="3"/>
      <c r="C711" s="3"/>
      <c r="D711" s="3"/>
      <c r="E711" s="3"/>
      <c r="F711" s="3"/>
      <c r="G711" s="3"/>
      <c r="H711" s="4"/>
      <c r="I711" s="5"/>
      <c r="J711" s="6"/>
      <c r="K711" s="3"/>
      <c r="L711" s="6"/>
      <c r="M711" s="6" t="str">
        <f>IF(OR(K711="",K711="Pending"),"",L711-J711)</f>
        <v> </v>
      </c>
      <c r="N711" s="6" t="str">
        <f>IF(M711="","",'Summary'!$B$4+SUM($M$2:M711))</f>
        <v> </v>
      </c>
    </row>
    <row r="712" spans="1:14">
      <c r="A712" s="2"/>
      <c r="B712" s="3"/>
      <c r="C712" s="3"/>
      <c r="D712" s="3"/>
      <c r="E712" s="3"/>
      <c r="F712" s="3"/>
      <c r="G712" s="3"/>
      <c r="H712" s="4"/>
      <c r="I712" s="5"/>
      <c r="J712" s="6"/>
      <c r="K712" s="3"/>
      <c r="L712" s="6"/>
      <c r="M712" s="6" t="str">
        <f>IF(OR(K712="",K712="Pending"),"",L712-J712)</f>
        <v> </v>
      </c>
      <c r="N712" s="6" t="str">
        <f>IF(M712="","",'Summary'!$B$4+SUM($M$2:M712))</f>
        <v> </v>
      </c>
    </row>
    <row r="713" spans="1:14">
      <c r="A713" s="2"/>
      <c r="B713" s="3"/>
      <c r="C713" s="3"/>
      <c r="D713" s="3"/>
      <c r="E713" s="3"/>
      <c r="F713" s="3"/>
      <c r="G713" s="3"/>
      <c r="H713" s="4"/>
      <c r="I713" s="5"/>
      <c r="J713" s="6"/>
      <c r="K713" s="3"/>
      <c r="L713" s="6"/>
      <c r="M713" s="6" t="str">
        <f>IF(OR(K713="",K713="Pending"),"",L713-J713)</f>
        <v> </v>
      </c>
      <c r="N713" s="6" t="str">
        <f>IF(M713="","",'Summary'!$B$4+SUM($M$2:M713))</f>
        <v> </v>
      </c>
    </row>
    <row r="714" spans="1:14">
      <c r="A714" s="2"/>
      <c r="B714" s="3"/>
      <c r="C714" s="3"/>
      <c r="D714" s="3"/>
      <c r="E714" s="3"/>
      <c r="F714" s="3"/>
      <c r="G714" s="3"/>
      <c r="H714" s="4"/>
      <c r="I714" s="5"/>
      <c r="J714" s="6"/>
      <c r="K714" s="3"/>
      <c r="L714" s="6"/>
      <c r="M714" s="6" t="str">
        <f>IF(OR(K714="",K714="Pending"),"",L714-J714)</f>
        <v> </v>
      </c>
      <c r="N714" s="6" t="str">
        <f>IF(M714="","",'Summary'!$B$4+SUM($M$2:M714))</f>
        <v> </v>
      </c>
    </row>
    <row r="715" spans="1:14">
      <c r="A715" s="2"/>
      <c r="B715" s="3"/>
      <c r="C715" s="3"/>
      <c r="D715" s="3"/>
      <c r="E715" s="3"/>
      <c r="F715" s="3"/>
      <c r="G715" s="3"/>
      <c r="H715" s="4"/>
      <c r="I715" s="5"/>
      <c r="J715" s="6"/>
      <c r="K715" s="3"/>
      <c r="L715" s="6"/>
      <c r="M715" s="6" t="str">
        <f>IF(OR(K715="",K715="Pending"),"",L715-J715)</f>
        <v> </v>
      </c>
      <c r="N715" s="6" t="str">
        <f>IF(M715="","",'Summary'!$B$4+SUM($M$2:M715))</f>
        <v> </v>
      </c>
    </row>
    <row r="716" spans="1:14">
      <c r="A716" s="2"/>
      <c r="B716" s="3"/>
      <c r="C716" s="3"/>
      <c r="D716" s="3"/>
      <c r="E716" s="3"/>
      <c r="F716" s="3"/>
      <c r="G716" s="3"/>
      <c r="H716" s="4"/>
      <c r="I716" s="5"/>
      <c r="J716" s="6"/>
      <c r="K716" s="3"/>
      <c r="L716" s="6"/>
      <c r="M716" s="6" t="str">
        <f>IF(OR(K716="",K716="Pending"),"",L716-J716)</f>
        <v> </v>
      </c>
      <c r="N716" s="6" t="str">
        <f>IF(M716="","",'Summary'!$B$4+SUM($M$2:M716))</f>
        <v> </v>
      </c>
    </row>
    <row r="717" spans="1:14">
      <c r="A717" s="2"/>
      <c r="B717" s="3"/>
      <c r="C717" s="3"/>
      <c r="D717" s="3"/>
      <c r="E717" s="3"/>
      <c r="F717" s="3"/>
      <c r="G717" s="3"/>
      <c r="H717" s="4"/>
      <c r="I717" s="5"/>
      <c r="J717" s="6"/>
      <c r="K717" s="3"/>
      <c r="L717" s="6"/>
      <c r="M717" s="6" t="str">
        <f>IF(OR(K717="",K717="Pending"),"",L717-J717)</f>
        <v> </v>
      </c>
      <c r="N717" s="6" t="str">
        <f>IF(M717="","",'Summary'!$B$4+SUM($M$2:M717))</f>
        <v> </v>
      </c>
    </row>
    <row r="718" spans="1:14">
      <c r="A718" s="2"/>
      <c r="B718" s="3"/>
      <c r="C718" s="3"/>
      <c r="D718" s="3"/>
      <c r="E718" s="3"/>
      <c r="F718" s="3"/>
      <c r="G718" s="3"/>
      <c r="H718" s="4"/>
      <c r="I718" s="5"/>
      <c r="J718" s="6"/>
      <c r="K718" s="3"/>
      <c r="L718" s="6"/>
      <c r="M718" s="6" t="str">
        <f>IF(OR(K718="",K718="Pending"),"",L718-J718)</f>
        <v> </v>
      </c>
      <c r="N718" s="6" t="str">
        <f>IF(M718="","",'Summary'!$B$4+SUM($M$2:M718))</f>
        <v> </v>
      </c>
    </row>
    <row r="719" spans="1:14">
      <c r="A719" s="2"/>
      <c r="B719" s="3"/>
      <c r="C719" s="3"/>
      <c r="D719" s="3"/>
      <c r="E719" s="3"/>
      <c r="F719" s="3"/>
      <c r="G719" s="3"/>
      <c r="H719" s="4"/>
      <c r="I719" s="5"/>
      <c r="J719" s="6"/>
      <c r="K719" s="3"/>
      <c r="L719" s="6"/>
      <c r="M719" s="6" t="str">
        <f>IF(OR(K719="",K719="Pending"),"",L719-J719)</f>
        <v> </v>
      </c>
      <c r="N719" s="6" t="str">
        <f>IF(M719="","",'Summary'!$B$4+SUM($M$2:M719))</f>
        <v> </v>
      </c>
    </row>
    <row r="720" spans="1:14">
      <c r="A720" s="2"/>
      <c r="B720" s="3"/>
      <c r="C720" s="3"/>
      <c r="D720" s="3"/>
      <c r="E720" s="3"/>
      <c r="F720" s="3"/>
      <c r="G720" s="3"/>
      <c r="H720" s="4"/>
      <c r="I720" s="5"/>
      <c r="J720" s="6"/>
      <c r="K720" s="3"/>
      <c r="L720" s="6"/>
      <c r="M720" s="6" t="str">
        <f>IF(OR(K720="",K720="Pending"),"",L720-J720)</f>
        <v> </v>
      </c>
      <c r="N720" s="6" t="str">
        <f>IF(M720="","",'Summary'!$B$4+SUM($M$2:M720))</f>
        <v> </v>
      </c>
    </row>
    <row r="721" spans="1:14">
      <c r="A721" s="2"/>
      <c r="B721" s="3"/>
      <c r="C721" s="3"/>
      <c r="D721" s="3"/>
      <c r="E721" s="3"/>
      <c r="F721" s="3"/>
      <c r="G721" s="3"/>
      <c r="H721" s="4"/>
      <c r="I721" s="5"/>
      <c r="J721" s="6"/>
      <c r="K721" s="3"/>
      <c r="L721" s="6"/>
      <c r="M721" s="6" t="str">
        <f>IF(OR(K721="",K721="Pending"),"",L721-J721)</f>
        <v> </v>
      </c>
      <c r="N721" s="6" t="str">
        <f>IF(M721="","",'Summary'!$B$4+SUM($M$2:M721))</f>
        <v> </v>
      </c>
    </row>
    <row r="722" spans="1:14">
      <c r="A722" s="2"/>
      <c r="B722" s="3"/>
      <c r="C722" s="3"/>
      <c r="D722" s="3"/>
      <c r="E722" s="3"/>
      <c r="F722" s="3"/>
      <c r="G722" s="3"/>
      <c r="H722" s="4"/>
      <c r="I722" s="5"/>
      <c r="J722" s="6"/>
      <c r="K722" s="3"/>
      <c r="L722" s="6"/>
      <c r="M722" s="6" t="str">
        <f>IF(OR(K722="",K722="Pending"),"",L722-J722)</f>
        <v> </v>
      </c>
      <c r="N722" s="6" t="str">
        <f>IF(M722="","",'Summary'!$B$4+SUM($M$2:M722))</f>
        <v> </v>
      </c>
    </row>
    <row r="723" spans="1:14">
      <c r="A723" s="2"/>
      <c r="B723" s="3"/>
      <c r="C723" s="3"/>
      <c r="D723" s="3"/>
      <c r="E723" s="3"/>
      <c r="F723" s="3"/>
      <c r="G723" s="3"/>
      <c r="H723" s="4"/>
      <c r="I723" s="5"/>
      <c r="J723" s="6"/>
      <c r="K723" s="3"/>
      <c r="L723" s="6"/>
      <c r="M723" s="6" t="str">
        <f>IF(OR(K723="",K723="Pending"),"",L723-J723)</f>
        <v> </v>
      </c>
      <c r="N723" s="6" t="str">
        <f>IF(M723="","",'Summary'!$B$4+SUM($M$2:M723))</f>
        <v> </v>
      </c>
    </row>
    <row r="724" spans="1:14">
      <c r="A724" s="2"/>
      <c r="B724" s="3"/>
      <c r="C724" s="3"/>
      <c r="D724" s="3"/>
      <c r="E724" s="3"/>
      <c r="F724" s="3"/>
      <c r="G724" s="3"/>
      <c r="H724" s="4"/>
      <c r="I724" s="5"/>
      <c r="J724" s="6"/>
      <c r="K724" s="3"/>
      <c r="L724" s="6"/>
      <c r="M724" s="6" t="str">
        <f>IF(OR(K724="",K724="Pending"),"",L724-J724)</f>
        <v> </v>
      </c>
      <c r="N724" s="6" t="str">
        <f>IF(M724="","",'Summary'!$B$4+SUM($M$2:M724))</f>
        <v> </v>
      </c>
    </row>
    <row r="725" spans="1:14">
      <c r="A725" s="2"/>
      <c r="B725" s="3"/>
      <c r="C725" s="3"/>
      <c r="D725" s="3"/>
      <c r="E725" s="3"/>
      <c r="F725" s="3"/>
      <c r="G725" s="3"/>
      <c r="H725" s="4"/>
      <c r="I725" s="5"/>
      <c r="J725" s="6"/>
      <c r="K725" s="3"/>
      <c r="L725" s="6"/>
      <c r="M725" s="6" t="str">
        <f>IF(OR(K725="",K725="Pending"),"",L725-J725)</f>
        <v> </v>
      </c>
      <c r="N725" s="6" t="str">
        <f>IF(M725="","",'Summary'!$B$4+SUM($M$2:M725))</f>
        <v> </v>
      </c>
    </row>
    <row r="726" spans="1:14">
      <c r="A726" s="2"/>
      <c r="B726" s="3"/>
      <c r="C726" s="3"/>
      <c r="D726" s="3"/>
      <c r="E726" s="3"/>
      <c r="F726" s="3"/>
      <c r="G726" s="3"/>
      <c r="H726" s="4"/>
      <c r="I726" s="5"/>
      <c r="J726" s="6"/>
      <c r="K726" s="3"/>
      <c r="L726" s="6"/>
      <c r="M726" s="6" t="str">
        <f>IF(OR(K726="",K726="Pending"),"",L726-J726)</f>
        <v> </v>
      </c>
      <c r="N726" s="6" t="str">
        <f>IF(M726="","",'Summary'!$B$4+SUM($M$2:M726))</f>
        <v> </v>
      </c>
    </row>
    <row r="727" spans="1:14">
      <c r="A727" s="2"/>
      <c r="B727" s="3"/>
      <c r="C727" s="3"/>
      <c r="D727" s="3"/>
      <c r="E727" s="3"/>
      <c r="F727" s="3"/>
      <c r="G727" s="3"/>
      <c r="H727" s="4"/>
      <c r="I727" s="5"/>
      <c r="J727" s="6"/>
      <c r="K727" s="3"/>
      <c r="L727" s="6"/>
      <c r="M727" s="6" t="str">
        <f>IF(OR(K727="",K727="Pending"),"",L727-J727)</f>
        <v> </v>
      </c>
      <c r="N727" s="6" t="str">
        <f>IF(M727="","",'Summary'!$B$4+SUM($M$2:M727))</f>
        <v> </v>
      </c>
    </row>
    <row r="728" spans="1:14">
      <c r="A728" s="2"/>
      <c r="B728" s="3"/>
      <c r="C728" s="3"/>
      <c r="D728" s="3"/>
      <c r="E728" s="3"/>
      <c r="F728" s="3"/>
      <c r="G728" s="3"/>
      <c r="H728" s="4"/>
      <c r="I728" s="5"/>
      <c r="J728" s="6"/>
      <c r="K728" s="3"/>
      <c r="L728" s="6"/>
      <c r="M728" s="6" t="str">
        <f>IF(OR(K728="",K728="Pending"),"",L728-J728)</f>
        <v> </v>
      </c>
      <c r="N728" s="6" t="str">
        <f>IF(M728="","",'Summary'!$B$4+SUM($M$2:M728))</f>
        <v> </v>
      </c>
    </row>
    <row r="729" spans="1:14">
      <c r="A729" s="2"/>
      <c r="B729" s="3"/>
      <c r="C729" s="3"/>
      <c r="D729" s="3"/>
      <c r="E729" s="3"/>
      <c r="F729" s="3"/>
      <c r="G729" s="3"/>
      <c r="H729" s="4"/>
      <c r="I729" s="5"/>
      <c r="J729" s="6"/>
      <c r="K729" s="3"/>
      <c r="L729" s="6"/>
      <c r="M729" s="6" t="str">
        <f>IF(OR(K729="",K729="Pending"),"",L729-J729)</f>
        <v> </v>
      </c>
      <c r="N729" s="6" t="str">
        <f>IF(M729="","",'Summary'!$B$4+SUM($M$2:M729))</f>
        <v> </v>
      </c>
    </row>
    <row r="730" spans="1:14">
      <c r="A730" s="2"/>
      <c r="B730" s="3"/>
      <c r="C730" s="3"/>
      <c r="D730" s="3"/>
      <c r="E730" s="3"/>
      <c r="F730" s="3"/>
      <c r="G730" s="3"/>
      <c r="H730" s="4"/>
      <c r="I730" s="5"/>
      <c r="J730" s="6"/>
      <c r="K730" s="3"/>
      <c r="L730" s="6"/>
      <c r="M730" s="6" t="str">
        <f>IF(OR(K730="",K730="Pending"),"",L730-J730)</f>
        <v> </v>
      </c>
      <c r="N730" s="6" t="str">
        <f>IF(M730="","",'Summary'!$B$4+SUM($M$2:M730))</f>
        <v> </v>
      </c>
    </row>
    <row r="731" spans="1:14">
      <c r="A731" s="2"/>
      <c r="B731" s="3"/>
      <c r="C731" s="3"/>
      <c r="D731" s="3"/>
      <c r="E731" s="3"/>
      <c r="F731" s="3"/>
      <c r="G731" s="3"/>
      <c r="H731" s="4"/>
      <c r="I731" s="5"/>
      <c r="J731" s="6"/>
      <c r="K731" s="3"/>
      <c r="L731" s="6"/>
      <c r="M731" s="6" t="str">
        <f>IF(OR(K731="",K731="Pending"),"",L731-J731)</f>
        <v> </v>
      </c>
      <c r="N731" s="6" t="str">
        <f>IF(M731="","",'Summary'!$B$4+SUM($M$2:M731))</f>
        <v> </v>
      </c>
    </row>
    <row r="732" spans="1:14">
      <c r="A732" s="2"/>
      <c r="B732" s="3"/>
      <c r="C732" s="3"/>
      <c r="D732" s="3"/>
      <c r="E732" s="3"/>
      <c r="F732" s="3"/>
      <c r="G732" s="3"/>
      <c r="H732" s="4"/>
      <c r="I732" s="5"/>
      <c r="J732" s="6"/>
      <c r="K732" s="3"/>
      <c r="L732" s="6"/>
      <c r="M732" s="6" t="str">
        <f>IF(OR(K732="",K732="Pending"),"",L732-J732)</f>
        <v> </v>
      </c>
      <c r="N732" s="6" t="str">
        <f>IF(M732="","",'Summary'!$B$4+SUM($M$2:M732))</f>
        <v> </v>
      </c>
    </row>
    <row r="733" spans="1:14">
      <c r="A733" s="2"/>
      <c r="B733" s="3"/>
      <c r="C733" s="3"/>
      <c r="D733" s="3"/>
      <c r="E733" s="3"/>
      <c r="F733" s="3"/>
      <c r="G733" s="3"/>
      <c r="H733" s="4"/>
      <c r="I733" s="5"/>
      <c r="J733" s="6"/>
      <c r="K733" s="3"/>
      <c r="L733" s="6"/>
      <c r="M733" s="6" t="str">
        <f>IF(OR(K733="",K733="Pending"),"",L733-J733)</f>
        <v> </v>
      </c>
      <c r="N733" s="6" t="str">
        <f>IF(M733="","",'Summary'!$B$4+SUM($M$2:M733))</f>
        <v> </v>
      </c>
    </row>
    <row r="734" spans="1:14">
      <c r="A734" s="2"/>
      <c r="B734" s="3"/>
      <c r="C734" s="3"/>
      <c r="D734" s="3"/>
      <c r="E734" s="3"/>
      <c r="F734" s="3"/>
      <c r="G734" s="3"/>
      <c r="H734" s="4"/>
      <c r="I734" s="5"/>
      <c r="J734" s="6"/>
      <c r="K734" s="3"/>
      <c r="L734" s="6"/>
      <c r="M734" s="6" t="str">
        <f>IF(OR(K734="",K734="Pending"),"",L734-J734)</f>
        <v> </v>
      </c>
      <c r="N734" s="6" t="str">
        <f>IF(M734="","",'Summary'!$B$4+SUM($M$2:M734))</f>
        <v> </v>
      </c>
    </row>
    <row r="735" spans="1:14">
      <c r="A735" s="2"/>
      <c r="B735" s="3"/>
      <c r="C735" s="3"/>
      <c r="D735" s="3"/>
      <c r="E735" s="3"/>
      <c r="F735" s="3"/>
      <c r="G735" s="3"/>
      <c r="H735" s="4"/>
      <c r="I735" s="5"/>
      <c r="J735" s="6"/>
      <c r="K735" s="3"/>
      <c r="L735" s="6"/>
      <c r="M735" s="6" t="str">
        <f>IF(OR(K735="",K735="Pending"),"",L735-J735)</f>
        <v> </v>
      </c>
      <c r="N735" s="6" t="str">
        <f>IF(M735="","",'Summary'!$B$4+SUM($M$2:M735))</f>
        <v> </v>
      </c>
    </row>
    <row r="736" spans="1:14">
      <c r="A736" s="2"/>
      <c r="B736" s="3"/>
      <c r="C736" s="3"/>
      <c r="D736" s="3"/>
      <c r="E736" s="3"/>
      <c r="F736" s="3"/>
      <c r="G736" s="3"/>
      <c r="H736" s="4"/>
      <c r="I736" s="5"/>
      <c r="J736" s="6"/>
      <c r="K736" s="3"/>
      <c r="L736" s="6"/>
      <c r="M736" s="6" t="str">
        <f>IF(OR(K736="",K736="Pending"),"",L736-J736)</f>
        <v> </v>
      </c>
      <c r="N736" s="6" t="str">
        <f>IF(M736="","",'Summary'!$B$4+SUM($M$2:M736))</f>
        <v> </v>
      </c>
    </row>
    <row r="737" spans="1:14">
      <c r="A737" s="2"/>
      <c r="B737" s="3"/>
      <c r="C737" s="3"/>
      <c r="D737" s="3"/>
      <c r="E737" s="3"/>
      <c r="F737" s="3"/>
      <c r="G737" s="3"/>
      <c r="H737" s="4"/>
      <c r="I737" s="5"/>
      <c r="J737" s="6"/>
      <c r="K737" s="3"/>
      <c r="L737" s="6"/>
      <c r="M737" s="6" t="str">
        <f>IF(OR(K737="",K737="Pending"),"",L737-J737)</f>
        <v> </v>
      </c>
      <c r="N737" s="6" t="str">
        <f>IF(M737="","",'Summary'!$B$4+SUM($M$2:M737))</f>
        <v> </v>
      </c>
    </row>
    <row r="738" spans="1:14">
      <c r="A738" s="2"/>
      <c r="B738" s="3"/>
      <c r="C738" s="3"/>
      <c r="D738" s="3"/>
      <c r="E738" s="3"/>
      <c r="F738" s="3"/>
      <c r="G738" s="3"/>
      <c r="H738" s="4"/>
      <c r="I738" s="5"/>
      <c r="J738" s="6"/>
      <c r="K738" s="3"/>
      <c r="L738" s="6"/>
      <c r="M738" s="6" t="str">
        <f>IF(OR(K738="",K738="Pending"),"",L738-J738)</f>
        <v> </v>
      </c>
      <c r="N738" s="6" t="str">
        <f>IF(M738="","",'Summary'!$B$4+SUM($M$2:M738))</f>
        <v> </v>
      </c>
    </row>
    <row r="739" spans="1:14">
      <c r="A739" s="2"/>
      <c r="B739" s="3"/>
      <c r="C739" s="3"/>
      <c r="D739" s="3"/>
      <c r="E739" s="3"/>
      <c r="F739" s="3"/>
      <c r="G739" s="3"/>
      <c r="H739" s="4"/>
      <c r="I739" s="5"/>
      <c r="J739" s="6"/>
      <c r="K739" s="3"/>
      <c r="L739" s="6"/>
      <c r="M739" s="6" t="str">
        <f>IF(OR(K739="",K739="Pending"),"",L739-J739)</f>
        <v> </v>
      </c>
      <c r="N739" s="6" t="str">
        <f>IF(M739="","",'Summary'!$B$4+SUM($M$2:M739))</f>
        <v> </v>
      </c>
    </row>
    <row r="740" spans="1:14">
      <c r="A740" s="2"/>
      <c r="B740" s="3"/>
      <c r="C740" s="3"/>
      <c r="D740" s="3"/>
      <c r="E740" s="3"/>
      <c r="F740" s="3"/>
      <c r="G740" s="3"/>
      <c r="H740" s="4"/>
      <c r="I740" s="5"/>
      <c r="J740" s="6"/>
      <c r="K740" s="3"/>
      <c r="L740" s="6"/>
      <c r="M740" s="6" t="str">
        <f>IF(OR(K740="",K740="Pending"),"",L740-J740)</f>
        <v> </v>
      </c>
      <c r="N740" s="6" t="str">
        <f>IF(M740="","",'Summary'!$B$4+SUM($M$2:M740))</f>
        <v> </v>
      </c>
    </row>
    <row r="741" spans="1:14">
      <c r="A741" s="2"/>
      <c r="B741" s="3"/>
      <c r="C741" s="3"/>
      <c r="D741" s="3"/>
      <c r="E741" s="3"/>
      <c r="F741" s="3"/>
      <c r="G741" s="3"/>
      <c r="H741" s="4"/>
      <c r="I741" s="5"/>
      <c r="J741" s="6"/>
      <c r="K741" s="3"/>
      <c r="L741" s="6"/>
      <c r="M741" s="6" t="str">
        <f>IF(OR(K741="",K741="Pending"),"",L741-J741)</f>
        <v> </v>
      </c>
      <c r="N741" s="6" t="str">
        <f>IF(M741="","",'Summary'!$B$4+SUM($M$2:M741))</f>
        <v> </v>
      </c>
    </row>
    <row r="742" spans="1:14">
      <c r="A742" s="2"/>
      <c r="B742" s="3"/>
      <c r="C742" s="3"/>
      <c r="D742" s="3"/>
      <c r="E742" s="3"/>
      <c r="F742" s="3"/>
      <c r="G742" s="3"/>
      <c r="H742" s="4"/>
      <c r="I742" s="5"/>
      <c r="J742" s="6"/>
      <c r="K742" s="3"/>
      <c r="L742" s="6"/>
      <c r="M742" s="6" t="str">
        <f>IF(OR(K742="",K742="Pending"),"",L742-J742)</f>
        <v> </v>
      </c>
      <c r="N742" s="6" t="str">
        <f>IF(M742="","",'Summary'!$B$4+SUM($M$2:M742))</f>
        <v> </v>
      </c>
    </row>
    <row r="743" spans="1:14">
      <c r="A743" s="2"/>
      <c r="B743" s="3"/>
      <c r="C743" s="3"/>
      <c r="D743" s="3"/>
      <c r="E743" s="3"/>
      <c r="F743" s="3"/>
      <c r="G743" s="3"/>
      <c r="H743" s="4"/>
      <c r="I743" s="5"/>
      <c r="J743" s="6"/>
      <c r="K743" s="3"/>
      <c r="L743" s="6"/>
      <c r="M743" s="6" t="str">
        <f>IF(OR(K743="",K743="Pending"),"",L743-J743)</f>
        <v> </v>
      </c>
      <c r="N743" s="6" t="str">
        <f>IF(M743="","",'Summary'!$B$4+SUM($M$2:M743))</f>
        <v> </v>
      </c>
    </row>
    <row r="744" spans="1:14">
      <c r="A744" s="2"/>
      <c r="B744" s="3"/>
      <c r="C744" s="3"/>
      <c r="D744" s="3"/>
      <c r="E744" s="3"/>
      <c r="F744" s="3"/>
      <c r="G744" s="3"/>
      <c r="H744" s="4"/>
      <c r="I744" s="5"/>
      <c r="J744" s="6"/>
      <c r="K744" s="3"/>
      <c r="L744" s="6"/>
      <c r="M744" s="6" t="str">
        <f>IF(OR(K744="",K744="Pending"),"",L744-J744)</f>
        <v> </v>
      </c>
      <c r="N744" s="6" t="str">
        <f>IF(M744="","",'Summary'!$B$4+SUM($M$2:M744))</f>
        <v> </v>
      </c>
    </row>
    <row r="745" spans="1:14">
      <c r="A745" s="2"/>
      <c r="B745" s="3"/>
      <c r="C745" s="3"/>
      <c r="D745" s="3"/>
      <c r="E745" s="3"/>
      <c r="F745" s="3"/>
      <c r="G745" s="3"/>
      <c r="H745" s="4"/>
      <c r="I745" s="5"/>
      <c r="J745" s="6"/>
      <c r="K745" s="3"/>
      <c r="L745" s="6"/>
      <c r="M745" s="6" t="str">
        <f>IF(OR(K745="",K745="Pending"),"",L745-J745)</f>
        <v> </v>
      </c>
      <c r="N745" s="6" t="str">
        <f>IF(M745="","",'Summary'!$B$4+SUM($M$2:M745))</f>
        <v> </v>
      </c>
    </row>
    <row r="746" spans="1:14">
      <c r="A746" s="2"/>
      <c r="B746" s="3"/>
      <c r="C746" s="3"/>
      <c r="D746" s="3"/>
      <c r="E746" s="3"/>
      <c r="F746" s="3"/>
      <c r="G746" s="3"/>
      <c r="H746" s="4"/>
      <c r="I746" s="5"/>
      <c r="J746" s="6"/>
      <c r="K746" s="3"/>
      <c r="L746" s="6"/>
      <c r="M746" s="6" t="str">
        <f>IF(OR(K746="",K746="Pending"),"",L746-J746)</f>
        <v> </v>
      </c>
      <c r="N746" s="6" t="str">
        <f>IF(M746="","",'Summary'!$B$4+SUM($M$2:M746))</f>
        <v> </v>
      </c>
    </row>
    <row r="747" spans="1:14">
      <c r="A747" s="2"/>
      <c r="B747" s="3"/>
      <c r="C747" s="3"/>
      <c r="D747" s="3"/>
      <c r="E747" s="3"/>
      <c r="F747" s="3"/>
      <c r="G747" s="3"/>
      <c r="H747" s="4"/>
      <c r="I747" s="5"/>
      <c r="J747" s="6"/>
      <c r="K747" s="3"/>
      <c r="L747" s="6"/>
      <c r="M747" s="6" t="str">
        <f>IF(OR(K747="",K747="Pending"),"",L747-J747)</f>
        <v> </v>
      </c>
      <c r="N747" s="6" t="str">
        <f>IF(M747="","",'Summary'!$B$4+SUM($M$2:M747))</f>
        <v> </v>
      </c>
    </row>
    <row r="748" spans="1:14">
      <c r="A748" s="2"/>
      <c r="B748" s="3"/>
      <c r="C748" s="3"/>
      <c r="D748" s="3"/>
      <c r="E748" s="3"/>
      <c r="F748" s="3"/>
      <c r="G748" s="3"/>
      <c r="H748" s="4"/>
      <c r="I748" s="5"/>
      <c r="J748" s="6"/>
      <c r="K748" s="3"/>
      <c r="L748" s="6"/>
      <c r="M748" s="6" t="str">
        <f>IF(OR(K748="",K748="Pending"),"",L748-J748)</f>
        <v> </v>
      </c>
      <c r="N748" s="6" t="str">
        <f>IF(M748="","",'Summary'!$B$4+SUM($M$2:M748))</f>
        <v> </v>
      </c>
    </row>
    <row r="749" spans="1:14">
      <c r="A749" s="2"/>
      <c r="B749" s="3"/>
      <c r="C749" s="3"/>
      <c r="D749" s="3"/>
      <c r="E749" s="3"/>
      <c r="F749" s="3"/>
      <c r="G749" s="3"/>
      <c r="H749" s="4"/>
      <c r="I749" s="5"/>
      <c r="J749" s="6"/>
      <c r="K749" s="3"/>
      <c r="L749" s="6"/>
      <c r="M749" s="6" t="str">
        <f>IF(OR(K749="",K749="Pending"),"",L749-J749)</f>
        <v> </v>
      </c>
      <c r="N749" s="6" t="str">
        <f>IF(M749="","",'Summary'!$B$4+SUM($M$2:M749))</f>
        <v> </v>
      </c>
    </row>
    <row r="750" spans="1:14">
      <c r="A750" s="2"/>
      <c r="B750" s="3"/>
      <c r="C750" s="3"/>
      <c r="D750" s="3"/>
      <c r="E750" s="3"/>
      <c r="F750" s="3"/>
      <c r="G750" s="3"/>
      <c r="H750" s="4"/>
      <c r="I750" s="5"/>
      <c r="J750" s="6"/>
      <c r="K750" s="3"/>
      <c r="L750" s="6"/>
      <c r="M750" s="6" t="str">
        <f>IF(OR(K750="",K750="Pending"),"",L750-J750)</f>
        <v> </v>
      </c>
      <c r="N750" s="6" t="str">
        <f>IF(M750="","",'Summary'!$B$4+SUM($M$2:M750))</f>
        <v> </v>
      </c>
    </row>
    <row r="751" spans="1:14">
      <c r="A751" s="2"/>
      <c r="B751" s="3"/>
      <c r="C751" s="3"/>
      <c r="D751" s="3"/>
      <c r="E751" s="3"/>
      <c r="F751" s="3"/>
      <c r="G751" s="3"/>
      <c r="H751" s="4"/>
      <c r="I751" s="5"/>
      <c r="J751" s="6"/>
      <c r="K751" s="3"/>
      <c r="L751" s="6"/>
      <c r="M751" s="6" t="str">
        <f>IF(OR(K751="",K751="Pending"),"",L751-J751)</f>
        <v> </v>
      </c>
      <c r="N751" s="6" t="str">
        <f>IF(M751="","",'Summary'!$B$4+SUM($M$2:M751))</f>
        <v> </v>
      </c>
    </row>
    <row r="752" spans="1:14">
      <c r="A752" s="2"/>
      <c r="B752" s="3"/>
      <c r="C752" s="3"/>
      <c r="D752" s="3"/>
      <c r="E752" s="3"/>
      <c r="F752" s="3"/>
      <c r="G752" s="3"/>
      <c r="H752" s="4"/>
      <c r="I752" s="5"/>
      <c r="J752" s="6"/>
      <c r="K752" s="3"/>
      <c r="L752" s="6"/>
      <c r="M752" s="6" t="str">
        <f>IF(OR(K752="",K752="Pending"),"",L752-J752)</f>
        <v> </v>
      </c>
      <c r="N752" s="6" t="str">
        <f>IF(M752="","",'Summary'!$B$4+SUM($M$2:M752))</f>
        <v> </v>
      </c>
    </row>
    <row r="753" spans="1:14">
      <c r="A753" s="2"/>
      <c r="B753" s="3"/>
      <c r="C753" s="3"/>
      <c r="D753" s="3"/>
      <c r="E753" s="3"/>
      <c r="F753" s="3"/>
      <c r="G753" s="3"/>
      <c r="H753" s="4"/>
      <c r="I753" s="5"/>
      <c r="J753" s="6"/>
      <c r="K753" s="3"/>
      <c r="L753" s="6"/>
      <c r="M753" s="6" t="str">
        <f>IF(OR(K753="",K753="Pending"),"",L753-J753)</f>
        <v> </v>
      </c>
      <c r="N753" s="6" t="str">
        <f>IF(M753="","",'Summary'!$B$4+SUM($M$2:M753))</f>
        <v> </v>
      </c>
    </row>
    <row r="754" spans="1:14">
      <c r="A754" s="2"/>
      <c r="B754" s="3"/>
      <c r="C754" s="3"/>
      <c r="D754" s="3"/>
      <c r="E754" s="3"/>
      <c r="F754" s="3"/>
      <c r="G754" s="3"/>
      <c r="H754" s="4"/>
      <c r="I754" s="5"/>
      <c r="J754" s="6"/>
      <c r="K754" s="3"/>
      <c r="L754" s="6"/>
      <c r="M754" s="6" t="str">
        <f>IF(OR(K754="",K754="Pending"),"",L754-J754)</f>
        <v> </v>
      </c>
      <c r="N754" s="6" t="str">
        <f>IF(M754="","",'Summary'!$B$4+SUM($M$2:M754))</f>
        <v> </v>
      </c>
    </row>
    <row r="755" spans="1:14">
      <c r="A755" s="2"/>
      <c r="B755" s="3"/>
      <c r="C755" s="3"/>
      <c r="D755" s="3"/>
      <c r="E755" s="3"/>
      <c r="F755" s="3"/>
      <c r="G755" s="3"/>
      <c r="H755" s="4"/>
      <c r="I755" s="5"/>
      <c r="J755" s="6"/>
      <c r="K755" s="3"/>
      <c r="L755" s="6"/>
      <c r="M755" s="6" t="str">
        <f>IF(OR(K755="",K755="Pending"),"",L755-J755)</f>
        <v> </v>
      </c>
      <c r="N755" s="6" t="str">
        <f>IF(M755="","",'Summary'!$B$4+SUM($M$2:M755))</f>
        <v> </v>
      </c>
    </row>
    <row r="756" spans="1:14">
      <c r="A756" s="2"/>
      <c r="B756" s="3"/>
      <c r="C756" s="3"/>
      <c r="D756" s="3"/>
      <c r="E756" s="3"/>
      <c r="F756" s="3"/>
      <c r="G756" s="3"/>
      <c r="H756" s="4"/>
      <c r="I756" s="5"/>
      <c r="J756" s="6"/>
      <c r="K756" s="3"/>
      <c r="L756" s="6"/>
      <c r="M756" s="6" t="str">
        <f>IF(OR(K756="",K756="Pending"),"",L756-J756)</f>
        <v> </v>
      </c>
      <c r="N756" s="6" t="str">
        <f>IF(M756="","",'Summary'!$B$4+SUM($M$2:M756))</f>
        <v> </v>
      </c>
    </row>
    <row r="757" spans="1:14">
      <c r="A757" s="2"/>
      <c r="B757" s="3"/>
      <c r="C757" s="3"/>
      <c r="D757" s="3"/>
      <c r="E757" s="3"/>
      <c r="F757" s="3"/>
      <c r="G757" s="3"/>
      <c r="H757" s="4"/>
      <c r="I757" s="5"/>
      <c r="J757" s="6"/>
      <c r="K757" s="3"/>
      <c r="L757" s="6"/>
      <c r="M757" s="6" t="str">
        <f>IF(OR(K757="",K757="Pending"),"",L757-J757)</f>
        <v> </v>
      </c>
      <c r="N757" s="6" t="str">
        <f>IF(M757="","",'Summary'!$B$4+SUM($M$2:M757))</f>
        <v> </v>
      </c>
    </row>
    <row r="758" spans="1:14">
      <c r="A758" s="2"/>
      <c r="B758" s="3"/>
      <c r="C758" s="3"/>
      <c r="D758" s="3"/>
      <c r="E758" s="3"/>
      <c r="F758" s="3"/>
      <c r="G758" s="3"/>
      <c r="H758" s="4"/>
      <c r="I758" s="5"/>
      <c r="J758" s="6"/>
      <c r="K758" s="3"/>
      <c r="L758" s="6"/>
      <c r="M758" s="6" t="str">
        <f>IF(OR(K758="",K758="Pending"),"",L758-J758)</f>
        <v> </v>
      </c>
      <c r="N758" s="6" t="str">
        <f>IF(M758="","",'Summary'!$B$4+SUM($M$2:M758))</f>
        <v> </v>
      </c>
    </row>
    <row r="759" spans="1:14">
      <c r="A759" s="2"/>
      <c r="B759" s="3"/>
      <c r="C759" s="3"/>
      <c r="D759" s="3"/>
      <c r="E759" s="3"/>
      <c r="F759" s="3"/>
      <c r="G759" s="3"/>
      <c r="H759" s="4"/>
      <c r="I759" s="5"/>
      <c r="J759" s="6"/>
      <c r="K759" s="3"/>
      <c r="L759" s="6"/>
      <c r="M759" s="6" t="str">
        <f>IF(OR(K759="",K759="Pending"),"",L759-J759)</f>
        <v> </v>
      </c>
      <c r="N759" s="6" t="str">
        <f>IF(M759="","",'Summary'!$B$4+SUM($M$2:M759))</f>
        <v> </v>
      </c>
    </row>
    <row r="760" spans="1:14">
      <c r="A760" s="2"/>
      <c r="B760" s="3"/>
      <c r="C760" s="3"/>
      <c r="D760" s="3"/>
      <c r="E760" s="3"/>
      <c r="F760" s="3"/>
      <c r="G760" s="3"/>
      <c r="H760" s="4"/>
      <c r="I760" s="5"/>
      <c r="J760" s="6"/>
      <c r="K760" s="3"/>
      <c r="L760" s="6"/>
      <c r="M760" s="6" t="str">
        <f>IF(OR(K760="",K760="Pending"),"",L760-J760)</f>
        <v> </v>
      </c>
      <c r="N760" s="6" t="str">
        <f>IF(M760="","",'Summary'!$B$4+SUM($M$2:M760))</f>
        <v> </v>
      </c>
    </row>
    <row r="761" spans="1:14">
      <c r="A761" s="2"/>
      <c r="B761" s="3"/>
      <c r="C761" s="3"/>
      <c r="D761" s="3"/>
      <c r="E761" s="3"/>
      <c r="F761" s="3"/>
      <c r="G761" s="3"/>
      <c r="H761" s="4"/>
      <c r="I761" s="5"/>
      <c r="J761" s="6"/>
      <c r="K761" s="3"/>
      <c r="L761" s="6"/>
      <c r="M761" s="6" t="str">
        <f>IF(OR(K761="",K761="Pending"),"",L761-J761)</f>
        <v> </v>
      </c>
      <c r="N761" s="6" t="str">
        <f>IF(M761="","",'Summary'!$B$4+SUM($M$2:M761))</f>
        <v> </v>
      </c>
    </row>
    <row r="762" spans="1:14">
      <c r="A762" s="2"/>
      <c r="B762" s="3"/>
      <c r="C762" s="3"/>
      <c r="D762" s="3"/>
      <c r="E762" s="3"/>
      <c r="F762" s="3"/>
      <c r="G762" s="3"/>
      <c r="H762" s="4"/>
      <c r="I762" s="5"/>
      <c r="J762" s="6"/>
      <c r="K762" s="3"/>
      <c r="L762" s="6"/>
      <c r="M762" s="6" t="str">
        <f>IF(OR(K762="",K762="Pending"),"",L762-J762)</f>
        <v> </v>
      </c>
      <c r="N762" s="6" t="str">
        <f>IF(M762="","",'Summary'!$B$4+SUM($M$2:M762))</f>
        <v> </v>
      </c>
    </row>
    <row r="763" spans="1:14">
      <c r="A763" s="2"/>
      <c r="B763" s="3"/>
      <c r="C763" s="3"/>
      <c r="D763" s="3"/>
      <c r="E763" s="3"/>
      <c r="F763" s="3"/>
      <c r="G763" s="3"/>
      <c r="H763" s="4"/>
      <c r="I763" s="5"/>
      <c r="J763" s="6"/>
      <c r="K763" s="3"/>
      <c r="L763" s="6"/>
      <c r="M763" s="6" t="str">
        <f>IF(OR(K763="",K763="Pending"),"",L763-J763)</f>
        <v> </v>
      </c>
      <c r="N763" s="6" t="str">
        <f>IF(M763="","",'Summary'!$B$4+SUM($M$2:M763))</f>
        <v> </v>
      </c>
    </row>
    <row r="764" spans="1:14">
      <c r="A764" s="2"/>
      <c r="B764" s="3"/>
      <c r="C764" s="3"/>
      <c r="D764" s="3"/>
      <c r="E764" s="3"/>
      <c r="F764" s="3"/>
      <c r="G764" s="3"/>
      <c r="H764" s="4"/>
      <c r="I764" s="5"/>
      <c r="J764" s="6"/>
      <c r="K764" s="3"/>
      <c r="L764" s="6"/>
      <c r="M764" s="6" t="str">
        <f>IF(OR(K764="",K764="Pending"),"",L764-J764)</f>
        <v> </v>
      </c>
      <c r="N764" s="6" t="str">
        <f>IF(M764="","",'Summary'!$B$4+SUM($M$2:M764))</f>
        <v> </v>
      </c>
    </row>
    <row r="765" spans="1:14">
      <c r="A765" s="2"/>
      <c r="B765" s="3"/>
      <c r="C765" s="3"/>
      <c r="D765" s="3"/>
      <c r="E765" s="3"/>
      <c r="F765" s="3"/>
      <c r="G765" s="3"/>
      <c r="H765" s="4"/>
      <c r="I765" s="5"/>
      <c r="J765" s="6"/>
      <c r="K765" s="3"/>
      <c r="L765" s="6"/>
      <c r="M765" s="6" t="str">
        <f>IF(OR(K765="",K765="Pending"),"",L765-J765)</f>
        <v> </v>
      </c>
      <c r="N765" s="6" t="str">
        <f>IF(M765="","",'Summary'!$B$4+SUM($M$2:M765))</f>
        <v> </v>
      </c>
    </row>
    <row r="766" spans="1:14">
      <c r="A766" s="2"/>
      <c r="B766" s="3"/>
      <c r="C766" s="3"/>
      <c r="D766" s="3"/>
      <c r="E766" s="3"/>
      <c r="F766" s="3"/>
      <c r="G766" s="3"/>
      <c r="H766" s="4"/>
      <c r="I766" s="5"/>
      <c r="J766" s="6"/>
      <c r="K766" s="3"/>
      <c r="L766" s="6"/>
      <c r="M766" s="6" t="str">
        <f>IF(OR(K766="",K766="Pending"),"",L766-J766)</f>
        <v> </v>
      </c>
      <c r="N766" s="6" t="str">
        <f>IF(M766="","",'Summary'!$B$4+SUM($M$2:M766))</f>
        <v> </v>
      </c>
    </row>
    <row r="767" spans="1:14">
      <c r="A767" s="2"/>
      <c r="B767" s="3"/>
      <c r="C767" s="3"/>
      <c r="D767" s="3"/>
      <c r="E767" s="3"/>
      <c r="F767" s="3"/>
      <c r="G767" s="3"/>
      <c r="H767" s="4"/>
      <c r="I767" s="5"/>
      <c r="J767" s="6"/>
      <c r="K767" s="3"/>
      <c r="L767" s="6"/>
      <c r="M767" s="6" t="str">
        <f>IF(OR(K767="",K767="Pending"),"",L767-J767)</f>
        <v> </v>
      </c>
      <c r="N767" s="6" t="str">
        <f>IF(M767="","",'Summary'!$B$4+SUM($M$2:M767))</f>
        <v> </v>
      </c>
    </row>
    <row r="768" spans="1:14">
      <c r="A768" s="2"/>
      <c r="B768" s="3"/>
      <c r="C768" s="3"/>
      <c r="D768" s="3"/>
      <c r="E768" s="3"/>
      <c r="F768" s="3"/>
      <c r="G768" s="3"/>
      <c r="H768" s="4"/>
      <c r="I768" s="5"/>
      <c r="J768" s="6"/>
      <c r="K768" s="3"/>
      <c r="L768" s="6"/>
      <c r="M768" s="6" t="str">
        <f>IF(OR(K768="",K768="Pending"),"",L768-J768)</f>
        <v> </v>
      </c>
      <c r="N768" s="6" t="str">
        <f>IF(M768="","",'Summary'!$B$4+SUM($M$2:M768))</f>
        <v> </v>
      </c>
    </row>
    <row r="769" spans="1:14">
      <c r="A769" s="2"/>
      <c r="B769" s="3"/>
      <c r="C769" s="3"/>
      <c r="D769" s="3"/>
      <c r="E769" s="3"/>
      <c r="F769" s="3"/>
      <c r="G769" s="3"/>
      <c r="H769" s="4"/>
      <c r="I769" s="5"/>
      <c r="J769" s="6"/>
      <c r="K769" s="3"/>
      <c r="L769" s="6"/>
      <c r="M769" s="6" t="str">
        <f>IF(OR(K769="",K769="Pending"),"",L769-J769)</f>
        <v> </v>
      </c>
      <c r="N769" s="6" t="str">
        <f>IF(M769="","",'Summary'!$B$4+SUM($M$2:M769))</f>
        <v> </v>
      </c>
    </row>
    <row r="770" spans="1:14">
      <c r="A770" s="2"/>
      <c r="B770" s="3"/>
      <c r="C770" s="3"/>
      <c r="D770" s="3"/>
      <c r="E770" s="3"/>
      <c r="F770" s="3"/>
      <c r="G770" s="3"/>
      <c r="H770" s="4"/>
      <c r="I770" s="5"/>
      <c r="J770" s="6"/>
      <c r="K770" s="3"/>
      <c r="L770" s="6"/>
      <c r="M770" s="6" t="str">
        <f>IF(OR(K770="",K770="Pending"),"",L770-J770)</f>
        <v> </v>
      </c>
      <c r="N770" s="6" t="str">
        <f>IF(M770="","",'Summary'!$B$4+SUM($M$2:M770))</f>
        <v> </v>
      </c>
    </row>
    <row r="771" spans="1:14">
      <c r="A771" s="2"/>
      <c r="B771" s="3"/>
      <c r="C771" s="3"/>
      <c r="D771" s="3"/>
      <c r="E771" s="3"/>
      <c r="F771" s="3"/>
      <c r="G771" s="3"/>
      <c r="H771" s="4"/>
      <c r="I771" s="5"/>
      <c r="J771" s="6"/>
      <c r="K771" s="3"/>
      <c r="L771" s="6"/>
      <c r="M771" s="6" t="str">
        <f>IF(OR(K771="",K771="Pending"),"",L771-J771)</f>
        <v> </v>
      </c>
      <c r="N771" s="6" t="str">
        <f>IF(M771="","",'Summary'!$B$4+SUM($M$2:M771))</f>
        <v> </v>
      </c>
    </row>
    <row r="772" spans="1:14">
      <c r="A772" s="2"/>
      <c r="B772" s="3"/>
      <c r="C772" s="3"/>
      <c r="D772" s="3"/>
      <c r="E772" s="3"/>
      <c r="F772" s="3"/>
      <c r="G772" s="3"/>
      <c r="H772" s="4"/>
      <c r="I772" s="5"/>
      <c r="J772" s="6"/>
      <c r="K772" s="3"/>
      <c r="L772" s="6"/>
      <c r="M772" s="6" t="str">
        <f>IF(OR(K772="",K772="Pending"),"",L772-J772)</f>
        <v> </v>
      </c>
      <c r="N772" s="6" t="str">
        <f>IF(M772="","",'Summary'!$B$4+SUM($M$2:M772))</f>
        <v> </v>
      </c>
    </row>
    <row r="773" spans="1:14">
      <c r="A773" s="2"/>
      <c r="B773" s="3"/>
      <c r="C773" s="3"/>
      <c r="D773" s="3"/>
      <c r="E773" s="3"/>
      <c r="F773" s="3"/>
      <c r="G773" s="3"/>
      <c r="H773" s="4"/>
      <c r="I773" s="5"/>
      <c r="J773" s="6"/>
      <c r="K773" s="3"/>
      <c r="L773" s="6"/>
      <c r="M773" s="6" t="str">
        <f>IF(OR(K773="",K773="Pending"),"",L773-J773)</f>
        <v> </v>
      </c>
      <c r="N773" s="6" t="str">
        <f>IF(M773="","",'Summary'!$B$4+SUM($M$2:M773))</f>
        <v> </v>
      </c>
    </row>
    <row r="774" spans="1:14">
      <c r="A774" s="2"/>
      <c r="B774" s="3"/>
      <c r="C774" s="3"/>
      <c r="D774" s="3"/>
      <c r="E774" s="3"/>
      <c r="F774" s="3"/>
      <c r="G774" s="3"/>
      <c r="H774" s="4"/>
      <c r="I774" s="5"/>
      <c r="J774" s="6"/>
      <c r="K774" s="3"/>
      <c r="L774" s="6"/>
      <c r="M774" s="6" t="str">
        <f>IF(OR(K774="",K774="Pending"),"",L774-J774)</f>
        <v> </v>
      </c>
      <c r="N774" s="6" t="str">
        <f>IF(M774="","",'Summary'!$B$4+SUM($M$2:M774))</f>
        <v> </v>
      </c>
    </row>
    <row r="775" spans="1:14">
      <c r="A775" s="2"/>
      <c r="B775" s="3"/>
      <c r="C775" s="3"/>
      <c r="D775" s="3"/>
      <c r="E775" s="3"/>
      <c r="F775" s="3"/>
      <c r="G775" s="3"/>
      <c r="H775" s="4"/>
      <c r="I775" s="5"/>
      <c r="J775" s="6"/>
      <c r="K775" s="3"/>
      <c r="L775" s="6"/>
      <c r="M775" s="6" t="str">
        <f>IF(OR(K775="",K775="Pending"),"",L775-J775)</f>
        <v> </v>
      </c>
      <c r="N775" s="6" t="str">
        <f>IF(M775="","",'Summary'!$B$4+SUM($M$2:M775))</f>
        <v> </v>
      </c>
    </row>
    <row r="776" spans="1:14">
      <c r="A776" s="2"/>
      <c r="B776" s="3"/>
      <c r="C776" s="3"/>
      <c r="D776" s="3"/>
      <c r="E776" s="3"/>
      <c r="F776" s="3"/>
      <c r="G776" s="3"/>
      <c r="H776" s="4"/>
      <c r="I776" s="5"/>
      <c r="J776" s="6"/>
      <c r="K776" s="3"/>
      <c r="L776" s="6"/>
      <c r="M776" s="6" t="str">
        <f>IF(OR(K776="",K776="Pending"),"",L776-J776)</f>
        <v> </v>
      </c>
      <c r="N776" s="6" t="str">
        <f>IF(M776="","",'Summary'!$B$4+SUM($M$2:M776))</f>
        <v> </v>
      </c>
    </row>
    <row r="777" spans="1:14">
      <c r="A777" s="2"/>
      <c r="B777" s="3"/>
      <c r="C777" s="3"/>
      <c r="D777" s="3"/>
      <c r="E777" s="3"/>
      <c r="F777" s="3"/>
      <c r="G777" s="3"/>
      <c r="H777" s="4"/>
      <c r="I777" s="5"/>
      <c r="J777" s="6"/>
      <c r="K777" s="3"/>
      <c r="L777" s="6"/>
      <c r="M777" s="6" t="str">
        <f>IF(OR(K777="",K777="Pending"),"",L777-J777)</f>
        <v> </v>
      </c>
      <c r="N777" s="6" t="str">
        <f>IF(M777="","",'Summary'!$B$4+SUM($M$2:M777))</f>
        <v> </v>
      </c>
    </row>
    <row r="778" spans="1:14">
      <c r="A778" s="2"/>
      <c r="B778" s="3"/>
      <c r="C778" s="3"/>
      <c r="D778" s="3"/>
      <c r="E778" s="3"/>
      <c r="F778" s="3"/>
      <c r="G778" s="3"/>
      <c r="H778" s="4"/>
      <c r="I778" s="5"/>
      <c r="J778" s="6"/>
      <c r="K778" s="3"/>
      <c r="L778" s="6"/>
      <c r="M778" s="6" t="str">
        <f>IF(OR(K778="",K778="Pending"),"",L778-J778)</f>
        <v> </v>
      </c>
      <c r="N778" s="6" t="str">
        <f>IF(M778="","",'Summary'!$B$4+SUM($M$2:M778))</f>
        <v> </v>
      </c>
    </row>
    <row r="779" spans="1:14">
      <c r="A779" s="2"/>
      <c r="B779" s="3"/>
      <c r="C779" s="3"/>
      <c r="D779" s="3"/>
      <c r="E779" s="3"/>
      <c r="F779" s="3"/>
      <c r="G779" s="3"/>
      <c r="H779" s="4"/>
      <c r="I779" s="5"/>
      <c r="J779" s="6"/>
      <c r="K779" s="3"/>
      <c r="L779" s="6"/>
      <c r="M779" s="6" t="str">
        <f>IF(OR(K779="",K779="Pending"),"",L779-J779)</f>
        <v> </v>
      </c>
      <c r="N779" s="6" t="str">
        <f>IF(M779="","",'Summary'!$B$4+SUM($M$2:M779))</f>
        <v> </v>
      </c>
    </row>
    <row r="780" spans="1:14">
      <c r="A780" s="2"/>
      <c r="B780" s="3"/>
      <c r="C780" s="3"/>
      <c r="D780" s="3"/>
      <c r="E780" s="3"/>
      <c r="F780" s="3"/>
      <c r="G780" s="3"/>
      <c r="H780" s="4"/>
      <c r="I780" s="5"/>
      <c r="J780" s="6"/>
      <c r="K780" s="3"/>
      <c r="L780" s="6"/>
      <c r="M780" s="6" t="str">
        <f>IF(OR(K780="",K780="Pending"),"",L780-J780)</f>
        <v> </v>
      </c>
      <c r="N780" s="6" t="str">
        <f>IF(M780="","",'Summary'!$B$4+SUM($M$2:M780))</f>
        <v> </v>
      </c>
    </row>
    <row r="781" spans="1:14">
      <c r="A781" s="2"/>
      <c r="B781" s="3"/>
      <c r="C781" s="3"/>
      <c r="D781" s="3"/>
      <c r="E781" s="3"/>
      <c r="F781" s="3"/>
      <c r="G781" s="3"/>
      <c r="H781" s="4"/>
      <c r="I781" s="5"/>
      <c r="J781" s="6"/>
      <c r="K781" s="3"/>
      <c r="L781" s="6"/>
      <c r="M781" s="6" t="str">
        <f>IF(OR(K781="",K781="Pending"),"",L781-J781)</f>
        <v> </v>
      </c>
      <c r="N781" s="6" t="str">
        <f>IF(M781="","",'Summary'!$B$4+SUM($M$2:M781))</f>
        <v> </v>
      </c>
    </row>
    <row r="782" spans="1:14">
      <c r="A782" s="2"/>
      <c r="B782" s="3"/>
      <c r="C782" s="3"/>
      <c r="D782" s="3"/>
      <c r="E782" s="3"/>
      <c r="F782" s="3"/>
      <c r="G782" s="3"/>
      <c r="H782" s="4"/>
      <c r="I782" s="5"/>
      <c r="J782" s="6"/>
      <c r="K782" s="3"/>
      <c r="L782" s="6"/>
      <c r="M782" s="6" t="str">
        <f>IF(OR(K782="",K782="Pending"),"",L782-J782)</f>
        <v> </v>
      </c>
      <c r="N782" s="6" t="str">
        <f>IF(M782="","",'Summary'!$B$4+SUM($M$2:M782))</f>
        <v> </v>
      </c>
    </row>
    <row r="783" spans="1:14">
      <c r="A783" s="2"/>
      <c r="B783" s="3"/>
      <c r="C783" s="3"/>
      <c r="D783" s="3"/>
      <c r="E783" s="3"/>
      <c r="F783" s="3"/>
      <c r="G783" s="3"/>
      <c r="H783" s="4"/>
      <c r="I783" s="5"/>
      <c r="J783" s="6"/>
      <c r="K783" s="3"/>
      <c r="L783" s="6"/>
      <c r="M783" s="6" t="str">
        <f>IF(OR(K783="",K783="Pending"),"",L783-J783)</f>
        <v> </v>
      </c>
      <c r="N783" s="6" t="str">
        <f>IF(M783="","",'Summary'!$B$4+SUM($M$2:M783))</f>
        <v> </v>
      </c>
    </row>
    <row r="784" spans="1:14">
      <c r="A784" s="2"/>
      <c r="B784" s="3"/>
      <c r="C784" s="3"/>
      <c r="D784" s="3"/>
      <c r="E784" s="3"/>
      <c r="F784" s="3"/>
      <c r="G784" s="3"/>
      <c r="H784" s="4"/>
      <c r="I784" s="5"/>
      <c r="J784" s="6"/>
      <c r="K784" s="3"/>
      <c r="L784" s="6"/>
      <c r="M784" s="6" t="str">
        <f>IF(OR(K784="",K784="Pending"),"",L784-J784)</f>
        <v> </v>
      </c>
      <c r="N784" s="6" t="str">
        <f>IF(M784="","",'Summary'!$B$4+SUM($M$2:M784))</f>
        <v> </v>
      </c>
    </row>
    <row r="785" spans="1:14">
      <c r="A785" s="2"/>
      <c r="B785" s="3"/>
      <c r="C785" s="3"/>
      <c r="D785" s="3"/>
      <c r="E785" s="3"/>
      <c r="F785" s="3"/>
      <c r="G785" s="3"/>
      <c r="H785" s="4"/>
      <c r="I785" s="5"/>
      <c r="J785" s="6"/>
      <c r="K785" s="3"/>
      <c r="L785" s="6"/>
      <c r="M785" s="6" t="str">
        <f>IF(OR(K785="",K785="Pending"),"",L785-J785)</f>
        <v> </v>
      </c>
      <c r="N785" s="6" t="str">
        <f>IF(M785="","",'Summary'!$B$4+SUM($M$2:M785))</f>
        <v> </v>
      </c>
    </row>
    <row r="786" spans="1:14">
      <c r="A786" s="2"/>
      <c r="B786" s="3"/>
      <c r="C786" s="3"/>
      <c r="D786" s="3"/>
      <c r="E786" s="3"/>
      <c r="F786" s="3"/>
      <c r="G786" s="3"/>
      <c r="H786" s="4"/>
      <c r="I786" s="5"/>
      <c r="J786" s="6"/>
      <c r="K786" s="3"/>
      <c r="L786" s="6"/>
      <c r="M786" s="6" t="str">
        <f>IF(OR(K786="",K786="Pending"),"",L786-J786)</f>
        <v> </v>
      </c>
      <c r="N786" s="6" t="str">
        <f>IF(M786="","",'Summary'!$B$4+SUM($M$2:M786))</f>
        <v> </v>
      </c>
    </row>
    <row r="787" spans="1:14">
      <c r="A787" s="2"/>
      <c r="B787" s="3"/>
      <c r="C787" s="3"/>
      <c r="D787" s="3"/>
      <c r="E787" s="3"/>
      <c r="F787" s="3"/>
      <c r="G787" s="3"/>
      <c r="H787" s="4"/>
      <c r="I787" s="5"/>
      <c r="J787" s="6"/>
      <c r="K787" s="3"/>
      <c r="L787" s="6"/>
      <c r="M787" s="6" t="str">
        <f>IF(OR(K787="",K787="Pending"),"",L787-J787)</f>
        <v> </v>
      </c>
      <c r="N787" s="6" t="str">
        <f>IF(M787="","",'Summary'!$B$4+SUM($M$2:M787))</f>
        <v> </v>
      </c>
    </row>
    <row r="788" spans="1:14">
      <c r="A788" s="2"/>
      <c r="B788" s="3"/>
      <c r="C788" s="3"/>
      <c r="D788" s="3"/>
      <c r="E788" s="3"/>
      <c r="F788" s="3"/>
      <c r="G788" s="3"/>
      <c r="H788" s="4"/>
      <c r="I788" s="5"/>
      <c r="J788" s="6"/>
      <c r="K788" s="3"/>
      <c r="L788" s="6"/>
      <c r="M788" s="6" t="str">
        <f>IF(OR(K788="",K788="Pending"),"",L788-J788)</f>
        <v> </v>
      </c>
      <c r="N788" s="6" t="str">
        <f>IF(M788="","",'Summary'!$B$4+SUM($M$2:M788))</f>
        <v> </v>
      </c>
    </row>
    <row r="789" spans="1:14">
      <c r="A789" s="2"/>
      <c r="B789" s="3"/>
      <c r="C789" s="3"/>
      <c r="D789" s="3"/>
      <c r="E789" s="3"/>
      <c r="F789" s="3"/>
      <c r="G789" s="3"/>
      <c r="H789" s="4"/>
      <c r="I789" s="5"/>
      <c r="J789" s="6"/>
      <c r="K789" s="3"/>
      <c r="L789" s="6"/>
      <c r="M789" s="6" t="str">
        <f>IF(OR(K789="",K789="Pending"),"",L789-J789)</f>
        <v> </v>
      </c>
      <c r="N789" s="6" t="str">
        <f>IF(M789="","",'Summary'!$B$4+SUM($M$2:M789))</f>
        <v> </v>
      </c>
    </row>
    <row r="790" spans="1:14">
      <c r="A790" s="2"/>
      <c r="B790" s="3"/>
      <c r="C790" s="3"/>
      <c r="D790" s="3"/>
      <c r="E790" s="3"/>
      <c r="F790" s="3"/>
      <c r="G790" s="3"/>
      <c r="H790" s="4"/>
      <c r="I790" s="5"/>
      <c r="J790" s="6"/>
      <c r="K790" s="3"/>
      <c r="L790" s="6"/>
      <c r="M790" s="6" t="str">
        <f>IF(OR(K790="",K790="Pending"),"",L790-J790)</f>
        <v> </v>
      </c>
      <c r="N790" s="6" t="str">
        <f>IF(M790="","",'Summary'!$B$4+SUM($M$2:M790))</f>
        <v> </v>
      </c>
    </row>
    <row r="791" spans="1:14">
      <c r="A791" s="2"/>
      <c r="B791" s="3"/>
      <c r="C791" s="3"/>
      <c r="D791" s="3"/>
      <c r="E791" s="3"/>
      <c r="F791" s="3"/>
      <c r="G791" s="3"/>
      <c r="H791" s="4"/>
      <c r="I791" s="5"/>
      <c r="J791" s="6"/>
      <c r="K791" s="3"/>
      <c r="L791" s="6"/>
      <c r="M791" s="6" t="str">
        <f>IF(OR(K791="",K791="Pending"),"",L791-J791)</f>
        <v> </v>
      </c>
      <c r="N791" s="6" t="str">
        <f>IF(M791="","",'Summary'!$B$4+SUM($M$2:M791))</f>
        <v> </v>
      </c>
    </row>
    <row r="792" spans="1:14">
      <c r="A792" s="2"/>
      <c r="B792" s="3"/>
      <c r="C792" s="3"/>
      <c r="D792" s="3"/>
      <c r="E792" s="3"/>
      <c r="F792" s="3"/>
      <c r="G792" s="3"/>
      <c r="H792" s="4"/>
      <c r="I792" s="5"/>
      <c r="J792" s="6"/>
      <c r="K792" s="3"/>
      <c r="L792" s="6"/>
      <c r="M792" s="6" t="str">
        <f>IF(OR(K792="",K792="Pending"),"",L792-J792)</f>
        <v> </v>
      </c>
      <c r="N792" s="6" t="str">
        <f>IF(M792="","",'Summary'!$B$4+SUM($M$2:M792))</f>
        <v> </v>
      </c>
    </row>
    <row r="793" spans="1:14">
      <c r="A793" s="2"/>
      <c r="B793" s="3"/>
      <c r="C793" s="3"/>
      <c r="D793" s="3"/>
      <c r="E793" s="3"/>
      <c r="F793" s="3"/>
      <c r="G793" s="3"/>
      <c r="H793" s="4"/>
      <c r="I793" s="5"/>
      <c r="J793" s="6"/>
      <c r="K793" s="3"/>
      <c r="L793" s="6"/>
      <c r="M793" s="6" t="str">
        <f>IF(OR(K793="",K793="Pending"),"",L793-J793)</f>
        <v> </v>
      </c>
      <c r="N793" s="6" t="str">
        <f>IF(M793="","",'Summary'!$B$4+SUM($M$2:M793))</f>
        <v> </v>
      </c>
    </row>
    <row r="794" spans="1:14">
      <c r="A794" s="2"/>
      <c r="B794" s="3"/>
      <c r="C794" s="3"/>
      <c r="D794" s="3"/>
      <c r="E794" s="3"/>
      <c r="F794" s="3"/>
      <c r="G794" s="3"/>
      <c r="H794" s="4"/>
      <c r="I794" s="5"/>
      <c r="J794" s="6"/>
      <c r="K794" s="3"/>
      <c r="L794" s="6"/>
      <c r="M794" s="6" t="str">
        <f>IF(OR(K794="",K794="Pending"),"",L794-J794)</f>
        <v> </v>
      </c>
      <c r="N794" s="6" t="str">
        <f>IF(M794="","",'Summary'!$B$4+SUM($M$2:M794))</f>
        <v> </v>
      </c>
    </row>
    <row r="795" spans="1:14">
      <c r="A795" s="2"/>
      <c r="B795" s="3"/>
      <c r="C795" s="3"/>
      <c r="D795" s="3"/>
      <c r="E795" s="3"/>
      <c r="F795" s="3"/>
      <c r="G795" s="3"/>
      <c r="H795" s="4"/>
      <c r="I795" s="5"/>
      <c r="J795" s="6"/>
      <c r="K795" s="3"/>
      <c r="L795" s="6"/>
      <c r="M795" s="6" t="str">
        <f>IF(OR(K795="",K795="Pending"),"",L795-J795)</f>
        <v> </v>
      </c>
      <c r="N795" s="6" t="str">
        <f>IF(M795="","",'Summary'!$B$4+SUM($M$2:M795))</f>
        <v> </v>
      </c>
    </row>
    <row r="796" spans="1:14">
      <c r="A796" s="2"/>
      <c r="B796" s="3"/>
      <c r="C796" s="3"/>
      <c r="D796" s="3"/>
      <c r="E796" s="3"/>
      <c r="F796" s="3"/>
      <c r="G796" s="3"/>
      <c r="H796" s="4"/>
      <c r="I796" s="5"/>
      <c r="J796" s="6"/>
      <c r="K796" s="3"/>
      <c r="L796" s="6"/>
      <c r="M796" s="6" t="str">
        <f>IF(OR(K796="",K796="Pending"),"",L796-J796)</f>
        <v> </v>
      </c>
      <c r="N796" s="6" t="str">
        <f>IF(M796="","",'Summary'!$B$4+SUM($M$2:M796))</f>
        <v> </v>
      </c>
    </row>
    <row r="797" spans="1:14">
      <c r="A797" s="2"/>
      <c r="B797" s="3"/>
      <c r="C797" s="3"/>
      <c r="D797" s="3"/>
      <c r="E797" s="3"/>
      <c r="F797" s="3"/>
      <c r="G797" s="3"/>
      <c r="H797" s="4"/>
      <c r="I797" s="5"/>
      <c r="J797" s="6"/>
      <c r="K797" s="3"/>
      <c r="L797" s="6"/>
      <c r="M797" s="6" t="str">
        <f>IF(OR(K797="",K797="Pending"),"",L797-J797)</f>
        <v> </v>
      </c>
      <c r="N797" s="6" t="str">
        <f>IF(M797="","",'Summary'!$B$4+SUM($M$2:M797))</f>
        <v> </v>
      </c>
    </row>
    <row r="798" spans="1:14">
      <c r="A798" s="2"/>
      <c r="B798" s="3"/>
      <c r="C798" s="3"/>
      <c r="D798" s="3"/>
      <c r="E798" s="3"/>
      <c r="F798" s="3"/>
      <c r="G798" s="3"/>
      <c r="H798" s="4"/>
      <c r="I798" s="5"/>
      <c r="J798" s="6"/>
      <c r="K798" s="3"/>
      <c r="L798" s="6"/>
      <c r="M798" s="6" t="str">
        <f>IF(OR(K798="",K798="Pending"),"",L798-J798)</f>
        <v> </v>
      </c>
      <c r="N798" s="6" t="str">
        <f>IF(M798="","",'Summary'!$B$4+SUM($M$2:M798))</f>
        <v> </v>
      </c>
    </row>
    <row r="799" spans="1:14">
      <c r="A799" s="2"/>
      <c r="B799" s="3"/>
      <c r="C799" s="3"/>
      <c r="D799" s="3"/>
      <c r="E799" s="3"/>
      <c r="F799" s="3"/>
      <c r="G799" s="3"/>
      <c r="H799" s="4"/>
      <c r="I799" s="5"/>
      <c r="J799" s="6"/>
      <c r="K799" s="3"/>
      <c r="L799" s="6"/>
      <c r="M799" s="6" t="str">
        <f>IF(OR(K799="",K799="Pending"),"",L799-J799)</f>
        <v> </v>
      </c>
      <c r="N799" s="6" t="str">
        <f>IF(M799="","",'Summary'!$B$4+SUM($M$2:M799))</f>
        <v> </v>
      </c>
    </row>
    <row r="800" spans="1:14">
      <c r="A800" s="2"/>
      <c r="B800" s="3"/>
      <c r="C800" s="3"/>
      <c r="D800" s="3"/>
      <c r="E800" s="3"/>
      <c r="F800" s="3"/>
      <c r="G800" s="3"/>
      <c r="H800" s="4"/>
      <c r="I800" s="5"/>
      <c r="J800" s="6"/>
      <c r="K800" s="3"/>
      <c r="L800" s="6"/>
      <c r="M800" s="6" t="str">
        <f>IF(OR(K800="",K800="Pending"),"",L800-J800)</f>
        <v> </v>
      </c>
      <c r="N800" s="6" t="str">
        <f>IF(M800="","",'Summary'!$B$4+SUM($M$2:M800))</f>
        <v> </v>
      </c>
    </row>
    <row r="801" spans="1:14">
      <c r="A801" s="2"/>
      <c r="B801" s="3"/>
      <c r="C801" s="3"/>
      <c r="D801" s="3"/>
      <c r="E801" s="3"/>
      <c r="F801" s="3"/>
      <c r="G801" s="3"/>
      <c r="H801" s="4"/>
      <c r="I801" s="5"/>
      <c r="J801" s="6"/>
      <c r="K801" s="3"/>
      <c r="L801" s="6"/>
      <c r="M801" s="6" t="str">
        <f>IF(OR(K801="",K801="Pending"),"",L801-J801)</f>
        <v> </v>
      </c>
      <c r="N801" s="6" t="str">
        <f>IF(M801="","",'Summary'!$B$4+SUM($M$2:M801))</f>
        <v> </v>
      </c>
    </row>
    <row r="802" spans="1:14">
      <c r="A802" s="2"/>
      <c r="B802" s="3"/>
      <c r="C802" s="3"/>
      <c r="D802" s="3"/>
      <c r="E802" s="3"/>
      <c r="F802" s="3"/>
      <c r="G802" s="3"/>
      <c r="H802" s="4"/>
      <c r="I802" s="5"/>
      <c r="J802" s="6"/>
      <c r="K802" s="3"/>
      <c r="L802" s="6"/>
      <c r="M802" s="6" t="str">
        <f>IF(OR(K802="",K802="Pending"),"",L802-J802)</f>
        <v> </v>
      </c>
      <c r="N802" s="6" t="str">
        <f>IF(M802="","",'Summary'!$B$4+SUM($M$2:M802))</f>
        <v> </v>
      </c>
    </row>
    <row r="803" spans="1:14">
      <c r="A803" s="2"/>
      <c r="B803" s="3"/>
      <c r="C803" s="3"/>
      <c r="D803" s="3"/>
      <c r="E803" s="3"/>
      <c r="F803" s="3"/>
      <c r="G803" s="3"/>
      <c r="H803" s="4"/>
      <c r="I803" s="5"/>
      <c r="J803" s="6"/>
      <c r="K803" s="3"/>
      <c r="L803" s="6"/>
      <c r="M803" s="6" t="str">
        <f>IF(OR(K803="",K803="Pending"),"",L803-J803)</f>
        <v> </v>
      </c>
      <c r="N803" s="6" t="str">
        <f>IF(M803="","",'Summary'!$B$4+SUM($M$2:M803))</f>
        <v> </v>
      </c>
    </row>
    <row r="804" spans="1:14">
      <c r="A804" s="2"/>
      <c r="B804" s="3"/>
      <c r="C804" s="3"/>
      <c r="D804" s="3"/>
      <c r="E804" s="3"/>
      <c r="F804" s="3"/>
      <c r="G804" s="3"/>
      <c r="H804" s="4"/>
      <c r="I804" s="5"/>
      <c r="J804" s="6"/>
      <c r="K804" s="3"/>
      <c r="L804" s="6"/>
      <c r="M804" s="6" t="str">
        <f>IF(OR(K804="",K804="Pending"),"",L804-J804)</f>
        <v> </v>
      </c>
      <c r="N804" s="6" t="str">
        <f>IF(M804="","",'Summary'!$B$4+SUM($M$2:M804))</f>
        <v> </v>
      </c>
    </row>
    <row r="805" spans="1:14">
      <c r="A805" s="2"/>
      <c r="B805" s="3"/>
      <c r="C805" s="3"/>
      <c r="D805" s="3"/>
      <c r="E805" s="3"/>
      <c r="F805" s="3"/>
      <c r="G805" s="3"/>
      <c r="H805" s="4"/>
      <c r="I805" s="5"/>
      <c r="J805" s="6"/>
      <c r="K805" s="3"/>
      <c r="L805" s="6"/>
      <c r="M805" s="6" t="str">
        <f>IF(OR(K805="",K805="Pending"),"",L805-J805)</f>
        <v> </v>
      </c>
      <c r="N805" s="6" t="str">
        <f>IF(M805="","",'Summary'!$B$4+SUM($M$2:M805))</f>
        <v> </v>
      </c>
    </row>
    <row r="806" spans="1:14">
      <c r="A806" s="2"/>
      <c r="B806" s="3"/>
      <c r="C806" s="3"/>
      <c r="D806" s="3"/>
      <c r="E806" s="3"/>
      <c r="F806" s="3"/>
      <c r="G806" s="3"/>
      <c r="H806" s="4"/>
      <c r="I806" s="5"/>
      <c r="J806" s="6"/>
      <c r="K806" s="3"/>
      <c r="L806" s="6"/>
      <c r="M806" s="6" t="str">
        <f>IF(OR(K806="",K806="Pending"),"",L806-J806)</f>
        <v> </v>
      </c>
      <c r="N806" s="6" t="str">
        <f>IF(M806="","",'Summary'!$B$4+SUM($M$2:M806))</f>
        <v> </v>
      </c>
    </row>
    <row r="807" spans="1:14">
      <c r="A807" s="2"/>
      <c r="B807" s="3"/>
      <c r="C807" s="3"/>
      <c r="D807" s="3"/>
      <c r="E807" s="3"/>
      <c r="F807" s="3"/>
      <c r="G807" s="3"/>
      <c r="H807" s="4"/>
      <c r="I807" s="5"/>
      <c r="J807" s="6"/>
      <c r="K807" s="3"/>
      <c r="L807" s="6"/>
      <c r="M807" s="6" t="str">
        <f>IF(OR(K807="",K807="Pending"),"",L807-J807)</f>
        <v> </v>
      </c>
      <c r="N807" s="6" t="str">
        <f>IF(M807="","",'Summary'!$B$4+SUM($M$2:M807))</f>
        <v> </v>
      </c>
    </row>
    <row r="808" spans="1:14">
      <c r="A808" s="2"/>
      <c r="B808" s="3"/>
      <c r="C808" s="3"/>
      <c r="D808" s="3"/>
      <c r="E808" s="3"/>
      <c r="F808" s="3"/>
      <c r="G808" s="3"/>
      <c r="H808" s="4"/>
      <c r="I808" s="5"/>
      <c r="J808" s="6"/>
      <c r="K808" s="3"/>
      <c r="L808" s="6"/>
      <c r="M808" s="6" t="str">
        <f>IF(OR(K808="",K808="Pending"),"",L808-J808)</f>
        <v> </v>
      </c>
      <c r="N808" s="6" t="str">
        <f>IF(M808="","",'Summary'!$B$4+SUM($M$2:M808))</f>
        <v> </v>
      </c>
    </row>
    <row r="809" spans="1:14">
      <c r="A809" s="2"/>
      <c r="B809" s="3"/>
      <c r="C809" s="3"/>
      <c r="D809" s="3"/>
      <c r="E809" s="3"/>
      <c r="F809" s="3"/>
      <c r="G809" s="3"/>
      <c r="H809" s="4"/>
      <c r="I809" s="5"/>
      <c r="J809" s="6"/>
      <c r="K809" s="3"/>
      <c r="L809" s="6"/>
      <c r="M809" s="6" t="str">
        <f>IF(OR(K809="",K809="Pending"),"",L809-J809)</f>
        <v> </v>
      </c>
      <c r="N809" s="6" t="str">
        <f>IF(M809="","",'Summary'!$B$4+SUM($M$2:M809))</f>
        <v> </v>
      </c>
    </row>
    <row r="810" spans="1:14">
      <c r="A810" s="2"/>
      <c r="B810" s="3"/>
      <c r="C810" s="3"/>
      <c r="D810" s="3"/>
      <c r="E810" s="3"/>
      <c r="F810" s="3"/>
      <c r="G810" s="3"/>
      <c r="H810" s="4"/>
      <c r="I810" s="5"/>
      <c r="J810" s="6"/>
      <c r="K810" s="3"/>
      <c r="L810" s="6"/>
      <c r="M810" s="6" t="str">
        <f>IF(OR(K810="",K810="Pending"),"",L810-J810)</f>
        <v> </v>
      </c>
      <c r="N810" s="6" t="str">
        <f>IF(M810="","",'Summary'!$B$4+SUM($M$2:M810))</f>
        <v> </v>
      </c>
    </row>
    <row r="811" spans="1:14">
      <c r="A811" s="2"/>
      <c r="B811" s="3"/>
      <c r="C811" s="3"/>
      <c r="D811" s="3"/>
      <c r="E811" s="3"/>
      <c r="F811" s="3"/>
      <c r="G811" s="3"/>
      <c r="H811" s="4"/>
      <c r="I811" s="5"/>
      <c r="J811" s="6"/>
      <c r="K811" s="3"/>
      <c r="L811" s="6"/>
      <c r="M811" s="6" t="str">
        <f>IF(OR(K811="",K811="Pending"),"",L811-J811)</f>
        <v> </v>
      </c>
      <c r="N811" s="6" t="str">
        <f>IF(M811="","",'Summary'!$B$4+SUM($M$2:M811))</f>
        <v> </v>
      </c>
    </row>
    <row r="812" spans="1:14">
      <c r="A812" s="2"/>
      <c r="B812" s="3"/>
      <c r="C812" s="3"/>
      <c r="D812" s="3"/>
      <c r="E812" s="3"/>
      <c r="F812" s="3"/>
      <c r="G812" s="3"/>
      <c r="H812" s="4"/>
      <c r="I812" s="5"/>
      <c r="J812" s="6"/>
      <c r="K812" s="3"/>
      <c r="L812" s="6"/>
      <c r="M812" s="6" t="str">
        <f>IF(OR(K812="",K812="Pending"),"",L812-J812)</f>
        <v> </v>
      </c>
      <c r="N812" s="6" t="str">
        <f>IF(M812="","",'Summary'!$B$4+SUM($M$2:M812))</f>
        <v> </v>
      </c>
    </row>
    <row r="813" spans="1:14">
      <c r="A813" s="2"/>
      <c r="B813" s="3"/>
      <c r="C813" s="3"/>
      <c r="D813" s="3"/>
      <c r="E813" s="3"/>
      <c r="F813" s="3"/>
      <c r="G813" s="3"/>
      <c r="H813" s="4"/>
      <c r="I813" s="5"/>
      <c r="J813" s="6"/>
      <c r="K813" s="3"/>
      <c r="L813" s="6"/>
      <c r="M813" s="6" t="str">
        <f>IF(OR(K813="",K813="Pending"),"",L813-J813)</f>
        <v> </v>
      </c>
      <c r="N813" s="6" t="str">
        <f>IF(M813="","",'Summary'!$B$4+SUM($M$2:M813))</f>
        <v> </v>
      </c>
    </row>
    <row r="814" spans="1:14">
      <c r="A814" s="2"/>
      <c r="B814" s="3"/>
      <c r="C814" s="3"/>
      <c r="D814" s="3"/>
      <c r="E814" s="3"/>
      <c r="F814" s="3"/>
      <c r="G814" s="3"/>
      <c r="H814" s="4"/>
      <c r="I814" s="5"/>
      <c r="J814" s="6"/>
      <c r="K814" s="3"/>
      <c r="L814" s="6"/>
      <c r="M814" s="6" t="str">
        <f>IF(OR(K814="",K814="Pending"),"",L814-J814)</f>
        <v> </v>
      </c>
      <c r="N814" s="6" t="str">
        <f>IF(M814="","",'Summary'!$B$4+SUM($M$2:M814))</f>
        <v> </v>
      </c>
    </row>
    <row r="815" spans="1:14">
      <c r="A815" s="2"/>
      <c r="B815" s="3"/>
      <c r="C815" s="3"/>
      <c r="D815" s="3"/>
      <c r="E815" s="3"/>
      <c r="F815" s="3"/>
      <c r="G815" s="3"/>
      <c r="H815" s="4"/>
      <c r="I815" s="5"/>
      <c r="J815" s="6"/>
      <c r="K815" s="3"/>
      <c r="L815" s="6"/>
      <c r="M815" s="6" t="str">
        <f>IF(OR(K815="",K815="Pending"),"",L815-J815)</f>
        <v> </v>
      </c>
      <c r="N815" s="6" t="str">
        <f>IF(M815="","",'Summary'!$B$4+SUM($M$2:M815))</f>
        <v> </v>
      </c>
    </row>
    <row r="816" spans="1:14">
      <c r="A816" s="2"/>
      <c r="B816" s="3"/>
      <c r="C816" s="3"/>
      <c r="D816" s="3"/>
      <c r="E816" s="3"/>
      <c r="F816" s="3"/>
      <c r="G816" s="3"/>
      <c r="H816" s="4"/>
      <c r="I816" s="5"/>
      <c r="J816" s="6"/>
      <c r="K816" s="3"/>
      <c r="L816" s="6"/>
      <c r="M816" s="6" t="str">
        <f>IF(OR(K816="",K816="Pending"),"",L816-J816)</f>
        <v> </v>
      </c>
      <c r="N816" s="6" t="str">
        <f>IF(M816="","",'Summary'!$B$4+SUM($M$2:M816))</f>
        <v> </v>
      </c>
    </row>
    <row r="817" spans="1:14">
      <c r="A817" s="2"/>
      <c r="B817" s="3"/>
      <c r="C817" s="3"/>
      <c r="D817" s="3"/>
      <c r="E817" s="3"/>
      <c r="F817" s="3"/>
      <c r="G817" s="3"/>
      <c r="H817" s="4"/>
      <c r="I817" s="5"/>
      <c r="J817" s="6"/>
      <c r="K817" s="3"/>
      <c r="L817" s="6"/>
      <c r="M817" s="6" t="str">
        <f>IF(OR(K817="",K817="Pending"),"",L817-J817)</f>
        <v> </v>
      </c>
      <c r="N817" s="6" t="str">
        <f>IF(M817="","",'Summary'!$B$4+SUM($M$2:M817))</f>
        <v> </v>
      </c>
    </row>
    <row r="818" spans="1:14">
      <c r="A818" s="2"/>
      <c r="B818" s="3"/>
      <c r="C818" s="3"/>
      <c r="D818" s="3"/>
      <c r="E818" s="3"/>
      <c r="F818" s="3"/>
      <c r="G818" s="3"/>
      <c r="H818" s="4"/>
      <c r="I818" s="5"/>
      <c r="J818" s="6"/>
      <c r="K818" s="3"/>
      <c r="L818" s="6"/>
      <c r="M818" s="6" t="str">
        <f>IF(OR(K818="",K818="Pending"),"",L818-J818)</f>
        <v> </v>
      </c>
      <c r="N818" s="6" t="str">
        <f>IF(M818="","",'Summary'!$B$4+SUM($M$2:M818))</f>
        <v> </v>
      </c>
    </row>
    <row r="819" spans="1:14">
      <c r="A819" s="2"/>
      <c r="B819" s="3"/>
      <c r="C819" s="3"/>
      <c r="D819" s="3"/>
      <c r="E819" s="3"/>
      <c r="F819" s="3"/>
      <c r="G819" s="3"/>
      <c r="H819" s="4"/>
      <c r="I819" s="5"/>
      <c r="J819" s="6"/>
      <c r="K819" s="3"/>
      <c r="L819" s="6"/>
      <c r="M819" s="6" t="str">
        <f>IF(OR(K819="",K819="Pending"),"",L819-J819)</f>
        <v> </v>
      </c>
      <c r="N819" s="6" t="str">
        <f>IF(M819="","",'Summary'!$B$4+SUM($M$2:M819))</f>
        <v> </v>
      </c>
    </row>
    <row r="820" spans="1:14">
      <c r="A820" s="2"/>
      <c r="B820" s="3"/>
      <c r="C820" s="3"/>
      <c r="D820" s="3"/>
      <c r="E820" s="3"/>
      <c r="F820" s="3"/>
      <c r="G820" s="3"/>
      <c r="H820" s="4"/>
      <c r="I820" s="5"/>
      <c r="J820" s="6"/>
      <c r="K820" s="3"/>
      <c r="L820" s="6"/>
      <c r="M820" s="6" t="str">
        <f>IF(OR(K820="",K820="Pending"),"",L820-J820)</f>
        <v> </v>
      </c>
      <c r="N820" s="6" t="str">
        <f>IF(M820="","",'Summary'!$B$4+SUM($M$2:M820))</f>
        <v> </v>
      </c>
    </row>
    <row r="821" spans="1:14">
      <c r="A821" s="2"/>
      <c r="B821" s="3"/>
      <c r="C821" s="3"/>
      <c r="D821" s="3"/>
      <c r="E821" s="3"/>
      <c r="F821" s="3"/>
      <c r="G821" s="3"/>
      <c r="H821" s="4"/>
      <c r="I821" s="5"/>
      <c r="J821" s="6"/>
      <c r="K821" s="3"/>
      <c r="L821" s="6"/>
      <c r="M821" s="6" t="str">
        <f>IF(OR(K821="",K821="Pending"),"",L821-J821)</f>
        <v> </v>
      </c>
      <c r="N821" s="6" t="str">
        <f>IF(M821="","",'Summary'!$B$4+SUM($M$2:M821))</f>
        <v> </v>
      </c>
    </row>
    <row r="822" spans="1:14">
      <c r="A822" s="2"/>
      <c r="B822" s="3"/>
      <c r="C822" s="3"/>
      <c r="D822" s="3"/>
      <c r="E822" s="3"/>
      <c r="F822" s="3"/>
      <c r="G822" s="3"/>
      <c r="H822" s="4"/>
      <c r="I822" s="5"/>
      <c r="J822" s="6"/>
      <c r="K822" s="3"/>
      <c r="L822" s="6"/>
      <c r="M822" s="6" t="str">
        <f>IF(OR(K822="",K822="Pending"),"",L822-J822)</f>
        <v> </v>
      </c>
      <c r="N822" s="6" t="str">
        <f>IF(M822="","",'Summary'!$B$4+SUM($M$2:M822))</f>
        <v> </v>
      </c>
    </row>
    <row r="823" spans="1:14">
      <c r="A823" s="2"/>
      <c r="B823" s="3"/>
      <c r="C823" s="3"/>
      <c r="D823" s="3"/>
      <c r="E823" s="3"/>
      <c r="F823" s="3"/>
      <c r="G823" s="3"/>
      <c r="H823" s="4"/>
      <c r="I823" s="5"/>
      <c r="J823" s="6"/>
      <c r="K823" s="3"/>
      <c r="L823" s="6"/>
      <c r="M823" s="6" t="str">
        <f>IF(OR(K823="",K823="Pending"),"",L823-J823)</f>
        <v> </v>
      </c>
      <c r="N823" s="6" t="str">
        <f>IF(M823="","",'Summary'!$B$4+SUM($M$2:M823))</f>
        <v> </v>
      </c>
    </row>
    <row r="824" spans="1:14">
      <c r="A824" s="2"/>
      <c r="B824" s="3"/>
      <c r="C824" s="3"/>
      <c r="D824" s="3"/>
      <c r="E824" s="3"/>
      <c r="F824" s="3"/>
      <c r="G824" s="3"/>
      <c r="H824" s="4"/>
      <c r="I824" s="5"/>
      <c r="J824" s="6"/>
      <c r="K824" s="3"/>
      <c r="L824" s="6"/>
      <c r="M824" s="6" t="str">
        <f>IF(OR(K824="",K824="Pending"),"",L824-J824)</f>
        <v> </v>
      </c>
      <c r="N824" s="6" t="str">
        <f>IF(M824="","",'Summary'!$B$4+SUM($M$2:M824))</f>
        <v> </v>
      </c>
    </row>
    <row r="825" spans="1:14">
      <c r="A825" s="2"/>
      <c r="B825" s="3"/>
      <c r="C825" s="3"/>
      <c r="D825" s="3"/>
      <c r="E825" s="3"/>
      <c r="F825" s="3"/>
      <c r="G825" s="3"/>
      <c r="H825" s="4"/>
      <c r="I825" s="5"/>
      <c r="J825" s="6"/>
      <c r="K825" s="3"/>
      <c r="L825" s="6"/>
      <c r="M825" s="6" t="str">
        <f>IF(OR(K825="",K825="Pending"),"",L825-J825)</f>
        <v> </v>
      </c>
      <c r="N825" s="6" t="str">
        <f>IF(M825="","",'Summary'!$B$4+SUM($M$2:M825))</f>
        <v> </v>
      </c>
    </row>
    <row r="826" spans="1:14">
      <c r="A826" s="2"/>
      <c r="B826" s="3"/>
      <c r="C826" s="3"/>
      <c r="D826" s="3"/>
      <c r="E826" s="3"/>
      <c r="F826" s="3"/>
      <c r="G826" s="3"/>
      <c r="H826" s="4"/>
      <c r="I826" s="5"/>
      <c r="J826" s="6"/>
      <c r="K826" s="3"/>
      <c r="L826" s="6"/>
      <c r="M826" s="6" t="str">
        <f>IF(OR(K826="",K826="Pending"),"",L826-J826)</f>
        <v> </v>
      </c>
      <c r="N826" s="6" t="str">
        <f>IF(M826="","",'Summary'!$B$4+SUM($M$2:M826))</f>
        <v> </v>
      </c>
    </row>
    <row r="827" spans="1:14">
      <c r="A827" s="2"/>
      <c r="B827" s="3"/>
      <c r="C827" s="3"/>
      <c r="D827" s="3"/>
      <c r="E827" s="3"/>
      <c r="F827" s="3"/>
      <c r="G827" s="3"/>
      <c r="H827" s="4"/>
      <c r="I827" s="5"/>
      <c r="J827" s="6"/>
      <c r="K827" s="3"/>
      <c r="L827" s="6"/>
      <c r="M827" s="6" t="str">
        <f>IF(OR(K827="",K827="Pending"),"",L827-J827)</f>
        <v> </v>
      </c>
      <c r="N827" s="6" t="str">
        <f>IF(M827="","",'Summary'!$B$4+SUM($M$2:M827))</f>
        <v> </v>
      </c>
    </row>
    <row r="828" spans="1:14">
      <c r="A828" s="2"/>
      <c r="B828" s="3"/>
      <c r="C828" s="3"/>
      <c r="D828" s="3"/>
      <c r="E828" s="3"/>
      <c r="F828" s="3"/>
      <c r="G828" s="3"/>
      <c r="H828" s="4"/>
      <c r="I828" s="5"/>
      <c r="J828" s="6"/>
      <c r="K828" s="3"/>
      <c r="L828" s="6"/>
      <c r="M828" s="6" t="str">
        <f>IF(OR(K828="",K828="Pending"),"",L828-J828)</f>
        <v> </v>
      </c>
      <c r="N828" s="6" t="str">
        <f>IF(M828="","",'Summary'!$B$4+SUM($M$2:M828))</f>
        <v> </v>
      </c>
    </row>
    <row r="829" spans="1:14">
      <c r="A829" s="2"/>
      <c r="B829" s="3"/>
      <c r="C829" s="3"/>
      <c r="D829" s="3"/>
      <c r="E829" s="3"/>
      <c r="F829" s="3"/>
      <c r="G829" s="3"/>
      <c r="H829" s="4"/>
      <c r="I829" s="5"/>
      <c r="J829" s="6"/>
      <c r="K829" s="3"/>
      <c r="L829" s="6"/>
      <c r="M829" s="6" t="str">
        <f>IF(OR(K829="",K829="Pending"),"",L829-J829)</f>
        <v> </v>
      </c>
      <c r="N829" s="6" t="str">
        <f>IF(M829="","",'Summary'!$B$4+SUM($M$2:M829))</f>
        <v> </v>
      </c>
    </row>
    <row r="830" spans="1:14">
      <c r="A830" s="2"/>
      <c r="B830" s="3"/>
      <c r="C830" s="3"/>
      <c r="D830" s="3"/>
      <c r="E830" s="3"/>
      <c r="F830" s="3"/>
      <c r="G830" s="3"/>
      <c r="H830" s="4"/>
      <c r="I830" s="5"/>
      <c r="J830" s="6"/>
      <c r="K830" s="3"/>
      <c r="L830" s="6"/>
      <c r="M830" s="6" t="str">
        <f>IF(OR(K830="",K830="Pending"),"",L830-J830)</f>
        <v> </v>
      </c>
      <c r="N830" s="6" t="str">
        <f>IF(M830="","",'Summary'!$B$4+SUM($M$2:M830))</f>
        <v> </v>
      </c>
    </row>
    <row r="831" spans="1:14">
      <c r="A831" s="2"/>
      <c r="B831" s="3"/>
      <c r="C831" s="3"/>
      <c r="D831" s="3"/>
      <c r="E831" s="3"/>
      <c r="F831" s="3"/>
      <c r="G831" s="3"/>
      <c r="H831" s="4"/>
      <c r="I831" s="5"/>
      <c r="J831" s="6"/>
      <c r="K831" s="3"/>
      <c r="L831" s="6"/>
      <c r="M831" s="6" t="str">
        <f>IF(OR(K831="",K831="Pending"),"",L831-J831)</f>
        <v> </v>
      </c>
      <c r="N831" s="6" t="str">
        <f>IF(M831="","",'Summary'!$B$4+SUM($M$2:M831))</f>
        <v> </v>
      </c>
    </row>
    <row r="832" spans="1:14">
      <c r="A832" s="2"/>
      <c r="B832" s="3"/>
      <c r="C832" s="3"/>
      <c r="D832" s="3"/>
      <c r="E832" s="3"/>
      <c r="F832" s="3"/>
      <c r="G832" s="3"/>
      <c r="H832" s="4"/>
      <c r="I832" s="5"/>
      <c r="J832" s="6"/>
      <c r="K832" s="3"/>
      <c r="L832" s="6"/>
      <c r="M832" s="6" t="str">
        <f>IF(OR(K832="",K832="Pending"),"",L832-J832)</f>
        <v> </v>
      </c>
      <c r="N832" s="6" t="str">
        <f>IF(M832="","",'Summary'!$B$4+SUM($M$2:M832))</f>
        <v> </v>
      </c>
    </row>
    <row r="833" spans="1:14">
      <c r="A833" s="2"/>
      <c r="B833" s="3"/>
      <c r="C833" s="3"/>
      <c r="D833" s="3"/>
      <c r="E833" s="3"/>
      <c r="F833" s="3"/>
      <c r="G833" s="3"/>
      <c r="H833" s="4"/>
      <c r="I833" s="5"/>
      <c r="J833" s="6"/>
      <c r="K833" s="3"/>
      <c r="L833" s="6"/>
      <c r="M833" s="6" t="str">
        <f>IF(OR(K833="",K833="Pending"),"",L833-J833)</f>
        <v> </v>
      </c>
      <c r="N833" s="6" t="str">
        <f>IF(M833="","",'Summary'!$B$4+SUM($M$2:M833))</f>
        <v> </v>
      </c>
    </row>
    <row r="834" spans="1:14">
      <c r="A834" s="2"/>
      <c r="B834" s="3"/>
      <c r="C834" s="3"/>
      <c r="D834" s="3"/>
      <c r="E834" s="3"/>
      <c r="F834" s="3"/>
      <c r="G834" s="3"/>
      <c r="H834" s="4"/>
      <c r="I834" s="5"/>
      <c r="J834" s="6"/>
      <c r="K834" s="3"/>
      <c r="L834" s="6"/>
      <c r="M834" s="6" t="str">
        <f>IF(OR(K834="",K834="Pending"),"",L834-J834)</f>
        <v> </v>
      </c>
      <c r="N834" s="6" t="str">
        <f>IF(M834="","",'Summary'!$B$4+SUM($M$2:M834))</f>
        <v> </v>
      </c>
    </row>
    <row r="835" spans="1:14">
      <c r="A835" s="2"/>
      <c r="B835" s="3"/>
      <c r="C835" s="3"/>
      <c r="D835" s="3"/>
      <c r="E835" s="3"/>
      <c r="F835" s="3"/>
      <c r="G835" s="3"/>
      <c r="H835" s="4"/>
      <c r="I835" s="5"/>
      <c r="J835" s="6"/>
      <c r="K835" s="3"/>
      <c r="L835" s="6"/>
      <c r="M835" s="6" t="str">
        <f>IF(OR(K835="",K835="Pending"),"",L835-J835)</f>
        <v> </v>
      </c>
      <c r="N835" s="6" t="str">
        <f>IF(M835="","",'Summary'!$B$4+SUM($M$2:M835))</f>
        <v> </v>
      </c>
    </row>
    <row r="836" spans="1:14">
      <c r="A836" s="2"/>
      <c r="B836" s="3"/>
      <c r="C836" s="3"/>
      <c r="D836" s="3"/>
      <c r="E836" s="3"/>
      <c r="F836" s="3"/>
      <c r="G836" s="3"/>
      <c r="H836" s="4"/>
      <c r="I836" s="5"/>
      <c r="J836" s="6"/>
      <c r="K836" s="3"/>
      <c r="L836" s="6"/>
      <c r="M836" s="6" t="str">
        <f>IF(OR(K836="",K836="Pending"),"",L836-J836)</f>
        <v> </v>
      </c>
      <c r="N836" s="6" t="str">
        <f>IF(M836="","",'Summary'!$B$4+SUM($M$2:M836))</f>
        <v> </v>
      </c>
    </row>
    <row r="837" spans="1:14">
      <c r="A837" s="2"/>
      <c r="B837" s="3"/>
      <c r="C837" s="3"/>
      <c r="D837" s="3"/>
      <c r="E837" s="3"/>
      <c r="F837" s="3"/>
      <c r="G837" s="3"/>
      <c r="H837" s="4"/>
      <c r="I837" s="5"/>
      <c r="J837" s="6"/>
      <c r="K837" s="3"/>
      <c r="L837" s="6"/>
      <c r="M837" s="6" t="str">
        <f>IF(OR(K837="",K837="Pending"),"",L837-J837)</f>
        <v> </v>
      </c>
      <c r="N837" s="6" t="str">
        <f>IF(M837="","",'Summary'!$B$4+SUM($M$2:M837))</f>
        <v> </v>
      </c>
    </row>
    <row r="838" spans="1:14">
      <c r="A838" s="2"/>
      <c r="B838" s="3"/>
      <c r="C838" s="3"/>
      <c r="D838" s="3"/>
      <c r="E838" s="3"/>
      <c r="F838" s="3"/>
      <c r="G838" s="3"/>
      <c r="H838" s="4"/>
      <c r="I838" s="5"/>
      <c r="J838" s="6"/>
      <c r="K838" s="3"/>
      <c r="L838" s="6"/>
      <c r="M838" s="6" t="str">
        <f>IF(OR(K838="",K838="Pending"),"",L838-J838)</f>
        <v> </v>
      </c>
      <c r="N838" s="6" t="str">
        <f>IF(M838="","",'Summary'!$B$4+SUM($M$2:M838))</f>
        <v> </v>
      </c>
    </row>
    <row r="839" spans="1:14">
      <c r="A839" s="2"/>
      <c r="B839" s="3"/>
      <c r="C839" s="3"/>
      <c r="D839" s="3"/>
      <c r="E839" s="3"/>
      <c r="F839" s="3"/>
      <c r="G839" s="3"/>
      <c r="H839" s="4"/>
      <c r="I839" s="5"/>
      <c r="J839" s="6"/>
      <c r="K839" s="3"/>
      <c r="L839" s="6"/>
      <c r="M839" s="6" t="str">
        <f>IF(OR(K839="",K839="Pending"),"",L839-J839)</f>
        <v> </v>
      </c>
      <c r="N839" s="6" t="str">
        <f>IF(M839="","",'Summary'!$B$4+SUM($M$2:M839))</f>
        <v> </v>
      </c>
    </row>
    <row r="840" spans="1:14">
      <c r="A840" s="2"/>
      <c r="B840" s="3"/>
      <c r="C840" s="3"/>
      <c r="D840" s="3"/>
      <c r="E840" s="3"/>
      <c r="F840" s="3"/>
      <c r="G840" s="3"/>
      <c r="H840" s="4"/>
      <c r="I840" s="5"/>
      <c r="J840" s="6"/>
      <c r="K840" s="3"/>
      <c r="L840" s="6"/>
      <c r="M840" s="6" t="str">
        <f>IF(OR(K840="",K840="Pending"),"",L840-J840)</f>
        <v> </v>
      </c>
      <c r="N840" s="6" t="str">
        <f>IF(M840="","",'Summary'!$B$4+SUM($M$2:M840))</f>
        <v> </v>
      </c>
    </row>
    <row r="841" spans="1:14">
      <c r="A841" s="2"/>
      <c r="B841" s="3"/>
      <c r="C841" s="3"/>
      <c r="D841" s="3"/>
      <c r="E841" s="3"/>
      <c r="F841" s="3"/>
      <c r="G841" s="3"/>
      <c r="H841" s="4"/>
      <c r="I841" s="5"/>
      <c r="J841" s="6"/>
      <c r="K841" s="3"/>
      <c r="L841" s="6"/>
      <c r="M841" s="6" t="str">
        <f>IF(OR(K841="",K841="Pending"),"",L841-J841)</f>
        <v> </v>
      </c>
      <c r="N841" s="6" t="str">
        <f>IF(M841="","",'Summary'!$B$4+SUM($M$2:M841))</f>
        <v> </v>
      </c>
    </row>
    <row r="842" spans="1:14">
      <c r="A842" s="2"/>
      <c r="B842" s="3"/>
      <c r="C842" s="3"/>
      <c r="D842" s="3"/>
      <c r="E842" s="3"/>
      <c r="F842" s="3"/>
      <c r="G842" s="3"/>
      <c r="H842" s="4"/>
      <c r="I842" s="5"/>
      <c r="J842" s="6"/>
      <c r="K842" s="3"/>
      <c r="L842" s="6"/>
      <c r="M842" s="6" t="str">
        <f>IF(OR(K842="",K842="Pending"),"",L842-J842)</f>
        <v> </v>
      </c>
      <c r="N842" s="6" t="str">
        <f>IF(M842="","",'Summary'!$B$4+SUM($M$2:M842))</f>
        <v> </v>
      </c>
    </row>
    <row r="843" spans="1:14">
      <c r="A843" s="2"/>
      <c r="B843" s="3"/>
      <c r="C843" s="3"/>
      <c r="D843" s="3"/>
      <c r="E843" s="3"/>
      <c r="F843" s="3"/>
      <c r="G843" s="3"/>
      <c r="H843" s="4"/>
      <c r="I843" s="5"/>
      <c r="J843" s="6"/>
      <c r="K843" s="3"/>
      <c r="L843" s="6"/>
      <c r="M843" s="6" t="str">
        <f>IF(OR(K843="",K843="Pending"),"",L843-J843)</f>
        <v> </v>
      </c>
      <c r="N843" s="6" t="str">
        <f>IF(M843="","",'Summary'!$B$4+SUM($M$2:M843))</f>
        <v> </v>
      </c>
    </row>
    <row r="844" spans="1:14">
      <c r="A844" s="2"/>
      <c r="B844" s="3"/>
      <c r="C844" s="3"/>
      <c r="D844" s="3"/>
      <c r="E844" s="3"/>
      <c r="F844" s="3"/>
      <c r="G844" s="3"/>
      <c r="H844" s="4"/>
      <c r="I844" s="5"/>
      <c r="J844" s="6"/>
      <c r="K844" s="3"/>
      <c r="L844" s="6"/>
      <c r="M844" s="6" t="str">
        <f>IF(OR(K844="",K844="Pending"),"",L844-J844)</f>
        <v> </v>
      </c>
      <c r="N844" s="6" t="str">
        <f>IF(M844="","",'Summary'!$B$4+SUM($M$2:M844))</f>
        <v> </v>
      </c>
    </row>
    <row r="845" spans="1:14">
      <c r="A845" s="2"/>
      <c r="B845" s="3"/>
      <c r="C845" s="3"/>
      <c r="D845" s="3"/>
      <c r="E845" s="3"/>
      <c r="F845" s="3"/>
      <c r="G845" s="3"/>
      <c r="H845" s="4"/>
      <c r="I845" s="5"/>
      <c r="J845" s="6"/>
      <c r="K845" s="3"/>
      <c r="L845" s="6"/>
      <c r="M845" s="6" t="str">
        <f>IF(OR(K845="",K845="Pending"),"",L845-J845)</f>
        <v> </v>
      </c>
      <c r="N845" s="6" t="str">
        <f>IF(M845="","",'Summary'!$B$4+SUM($M$2:M845))</f>
        <v> </v>
      </c>
    </row>
    <row r="846" spans="1:14">
      <c r="A846" s="2"/>
      <c r="B846" s="3"/>
      <c r="C846" s="3"/>
      <c r="D846" s="3"/>
      <c r="E846" s="3"/>
      <c r="F846" s="3"/>
      <c r="G846" s="3"/>
      <c r="H846" s="4"/>
      <c r="I846" s="5"/>
      <c r="J846" s="6"/>
      <c r="K846" s="3"/>
      <c r="L846" s="6"/>
      <c r="M846" s="6" t="str">
        <f>IF(OR(K846="",K846="Pending"),"",L846-J846)</f>
        <v> </v>
      </c>
      <c r="N846" s="6" t="str">
        <f>IF(M846="","",'Summary'!$B$4+SUM($M$2:M846))</f>
        <v> </v>
      </c>
    </row>
    <row r="847" spans="1:14">
      <c r="A847" s="2"/>
      <c r="B847" s="3"/>
      <c r="C847" s="3"/>
      <c r="D847" s="3"/>
      <c r="E847" s="3"/>
      <c r="F847" s="3"/>
      <c r="G847" s="3"/>
      <c r="H847" s="4"/>
      <c r="I847" s="5"/>
      <c r="J847" s="6"/>
      <c r="K847" s="3"/>
      <c r="L847" s="6"/>
      <c r="M847" s="6" t="str">
        <f>IF(OR(K847="",K847="Pending"),"",L847-J847)</f>
        <v> </v>
      </c>
      <c r="N847" s="6" t="str">
        <f>IF(M847="","",'Summary'!$B$4+SUM($M$2:M847))</f>
        <v> </v>
      </c>
    </row>
    <row r="848" spans="1:14">
      <c r="A848" s="2"/>
      <c r="B848" s="3"/>
      <c r="C848" s="3"/>
      <c r="D848" s="3"/>
      <c r="E848" s="3"/>
      <c r="F848" s="3"/>
      <c r="G848" s="3"/>
      <c r="H848" s="4"/>
      <c r="I848" s="5"/>
      <c r="J848" s="6"/>
      <c r="K848" s="3"/>
      <c r="L848" s="6"/>
      <c r="M848" s="6" t="str">
        <f>IF(OR(K848="",K848="Pending"),"",L848-J848)</f>
        <v> </v>
      </c>
      <c r="N848" s="6" t="str">
        <f>IF(M848="","",'Summary'!$B$4+SUM($M$2:M848))</f>
        <v> </v>
      </c>
    </row>
    <row r="849" spans="1:14">
      <c r="A849" s="2"/>
      <c r="B849" s="3"/>
      <c r="C849" s="3"/>
      <c r="D849" s="3"/>
      <c r="E849" s="3"/>
      <c r="F849" s="3"/>
      <c r="G849" s="3"/>
      <c r="H849" s="4"/>
      <c r="I849" s="5"/>
      <c r="J849" s="6"/>
      <c r="K849" s="3"/>
      <c r="L849" s="6"/>
      <c r="M849" s="6" t="str">
        <f>IF(OR(K849="",K849="Pending"),"",L849-J849)</f>
        <v> </v>
      </c>
      <c r="N849" s="6" t="str">
        <f>IF(M849="","",'Summary'!$B$4+SUM($M$2:M849))</f>
        <v> </v>
      </c>
    </row>
    <row r="850" spans="1:14">
      <c r="A850" s="2"/>
      <c r="B850" s="3"/>
      <c r="C850" s="3"/>
      <c r="D850" s="3"/>
      <c r="E850" s="3"/>
      <c r="F850" s="3"/>
      <c r="G850" s="3"/>
      <c r="H850" s="4"/>
      <c r="I850" s="5"/>
      <c r="J850" s="6"/>
      <c r="K850" s="3"/>
      <c r="L850" s="6"/>
      <c r="M850" s="6" t="str">
        <f>IF(OR(K850="",K850="Pending"),"",L850-J850)</f>
        <v> </v>
      </c>
      <c r="N850" s="6" t="str">
        <f>IF(M850="","",'Summary'!$B$4+SUM($M$2:M850))</f>
        <v> </v>
      </c>
    </row>
    <row r="851" spans="1:14">
      <c r="A851" s="2"/>
      <c r="B851" s="3"/>
      <c r="C851" s="3"/>
      <c r="D851" s="3"/>
      <c r="E851" s="3"/>
      <c r="F851" s="3"/>
      <c r="G851" s="3"/>
      <c r="H851" s="4"/>
      <c r="I851" s="5"/>
      <c r="J851" s="6"/>
      <c r="K851" s="3"/>
      <c r="L851" s="6"/>
      <c r="M851" s="6" t="str">
        <f>IF(OR(K851="",K851="Pending"),"",L851-J851)</f>
        <v> </v>
      </c>
      <c r="N851" s="6" t="str">
        <f>IF(M851="","",'Summary'!$B$4+SUM($M$2:M851))</f>
        <v> </v>
      </c>
    </row>
    <row r="852" spans="1:14">
      <c r="A852" s="2"/>
      <c r="B852" s="3"/>
      <c r="C852" s="3"/>
      <c r="D852" s="3"/>
      <c r="E852" s="3"/>
      <c r="F852" s="3"/>
      <c r="G852" s="3"/>
      <c r="H852" s="4"/>
      <c r="I852" s="5"/>
      <c r="J852" s="6"/>
      <c r="K852" s="3"/>
      <c r="L852" s="6"/>
      <c r="M852" s="6" t="str">
        <f>IF(OR(K852="",K852="Pending"),"",L852-J852)</f>
        <v> </v>
      </c>
      <c r="N852" s="6" t="str">
        <f>IF(M852="","",'Summary'!$B$4+SUM($M$2:M852))</f>
        <v> </v>
      </c>
    </row>
    <row r="853" spans="1:14">
      <c r="A853" s="2"/>
      <c r="B853" s="3"/>
      <c r="C853" s="3"/>
      <c r="D853" s="3"/>
      <c r="E853" s="3"/>
      <c r="F853" s="3"/>
      <c r="G853" s="3"/>
      <c r="H853" s="4"/>
      <c r="I853" s="5"/>
      <c r="J853" s="6"/>
      <c r="K853" s="3"/>
      <c r="L853" s="6"/>
      <c r="M853" s="6" t="str">
        <f>IF(OR(K853="",K853="Pending"),"",L853-J853)</f>
        <v> </v>
      </c>
      <c r="N853" s="6" t="str">
        <f>IF(M853="","",'Summary'!$B$4+SUM($M$2:M853))</f>
        <v> </v>
      </c>
    </row>
    <row r="854" spans="1:14">
      <c r="A854" s="2"/>
      <c r="B854" s="3"/>
      <c r="C854" s="3"/>
      <c r="D854" s="3"/>
      <c r="E854" s="3"/>
      <c r="F854" s="3"/>
      <c r="G854" s="3"/>
      <c r="H854" s="4"/>
      <c r="I854" s="5"/>
      <c r="J854" s="6"/>
      <c r="K854" s="3"/>
      <c r="L854" s="6"/>
      <c r="M854" s="6" t="str">
        <f>IF(OR(K854="",K854="Pending"),"",L854-J854)</f>
        <v> </v>
      </c>
      <c r="N854" s="6" t="str">
        <f>IF(M854="","",'Summary'!$B$4+SUM($M$2:M854))</f>
        <v> </v>
      </c>
    </row>
    <row r="855" spans="1:14">
      <c r="A855" s="2"/>
      <c r="B855" s="3"/>
      <c r="C855" s="3"/>
      <c r="D855" s="3"/>
      <c r="E855" s="3"/>
      <c r="F855" s="3"/>
      <c r="G855" s="3"/>
      <c r="H855" s="4"/>
      <c r="I855" s="5"/>
      <c r="J855" s="6"/>
      <c r="K855" s="3"/>
      <c r="L855" s="6"/>
      <c r="M855" s="6" t="str">
        <f>IF(OR(K855="",K855="Pending"),"",L855-J855)</f>
        <v> </v>
      </c>
      <c r="N855" s="6" t="str">
        <f>IF(M855="","",'Summary'!$B$4+SUM($M$2:M855))</f>
        <v> </v>
      </c>
    </row>
    <row r="856" spans="1:14">
      <c r="A856" s="2"/>
      <c r="B856" s="3"/>
      <c r="C856" s="3"/>
      <c r="D856" s="3"/>
      <c r="E856" s="3"/>
      <c r="F856" s="3"/>
      <c r="G856" s="3"/>
      <c r="H856" s="4"/>
      <c r="I856" s="5"/>
      <c r="J856" s="6"/>
      <c r="K856" s="3"/>
      <c r="L856" s="6"/>
      <c r="M856" s="6" t="str">
        <f>IF(OR(K856="",K856="Pending"),"",L856-J856)</f>
        <v> </v>
      </c>
      <c r="N856" s="6" t="str">
        <f>IF(M856="","",'Summary'!$B$4+SUM($M$2:M856))</f>
        <v> </v>
      </c>
    </row>
    <row r="857" spans="1:14">
      <c r="A857" s="2"/>
      <c r="B857" s="3"/>
      <c r="C857" s="3"/>
      <c r="D857" s="3"/>
      <c r="E857" s="3"/>
      <c r="F857" s="3"/>
      <c r="G857" s="3"/>
      <c r="H857" s="4"/>
      <c r="I857" s="5"/>
      <c r="J857" s="6"/>
      <c r="K857" s="3"/>
      <c r="L857" s="6"/>
      <c r="M857" s="6" t="str">
        <f>IF(OR(K857="",K857="Pending"),"",L857-J857)</f>
        <v> </v>
      </c>
      <c r="N857" s="6" t="str">
        <f>IF(M857="","",'Summary'!$B$4+SUM($M$2:M857))</f>
        <v> </v>
      </c>
    </row>
    <row r="858" spans="1:14">
      <c r="A858" s="2"/>
      <c r="B858" s="3"/>
      <c r="C858" s="3"/>
      <c r="D858" s="3"/>
      <c r="E858" s="3"/>
      <c r="F858" s="3"/>
      <c r="G858" s="3"/>
      <c r="H858" s="4"/>
      <c r="I858" s="5"/>
      <c r="J858" s="6"/>
      <c r="K858" s="3"/>
      <c r="L858" s="6"/>
      <c r="M858" s="6" t="str">
        <f>IF(OR(K858="",K858="Pending"),"",L858-J858)</f>
        <v> </v>
      </c>
      <c r="N858" s="6" t="str">
        <f>IF(M858="","",'Summary'!$B$4+SUM($M$2:M858))</f>
        <v> </v>
      </c>
    </row>
    <row r="859" spans="1:14">
      <c r="A859" s="2"/>
      <c r="B859" s="3"/>
      <c r="C859" s="3"/>
      <c r="D859" s="3"/>
      <c r="E859" s="3"/>
      <c r="F859" s="3"/>
      <c r="G859" s="3"/>
      <c r="H859" s="4"/>
      <c r="I859" s="5"/>
      <c r="J859" s="6"/>
      <c r="K859" s="3"/>
      <c r="L859" s="6"/>
      <c r="M859" s="6" t="str">
        <f>IF(OR(K859="",K859="Pending"),"",L859-J859)</f>
        <v> </v>
      </c>
      <c r="N859" s="6" t="str">
        <f>IF(M859="","",'Summary'!$B$4+SUM($M$2:M859))</f>
        <v> </v>
      </c>
    </row>
    <row r="860" spans="1:14">
      <c r="A860" s="2"/>
      <c r="B860" s="3"/>
      <c r="C860" s="3"/>
      <c r="D860" s="3"/>
      <c r="E860" s="3"/>
      <c r="F860" s="3"/>
      <c r="G860" s="3"/>
      <c r="H860" s="4"/>
      <c r="I860" s="5"/>
      <c r="J860" s="6"/>
      <c r="K860" s="3"/>
      <c r="L860" s="6"/>
      <c r="M860" s="6" t="str">
        <f>IF(OR(K860="",K860="Pending"),"",L860-J860)</f>
        <v> </v>
      </c>
      <c r="N860" s="6" t="str">
        <f>IF(M860="","",'Summary'!$B$4+SUM($M$2:M860))</f>
        <v> </v>
      </c>
    </row>
    <row r="861" spans="1:14">
      <c r="A861" s="2"/>
      <c r="B861" s="3"/>
      <c r="C861" s="3"/>
      <c r="D861" s="3"/>
      <c r="E861" s="3"/>
      <c r="F861" s="3"/>
      <c r="G861" s="3"/>
      <c r="H861" s="4"/>
      <c r="I861" s="5"/>
      <c r="J861" s="6"/>
      <c r="K861" s="3"/>
      <c r="L861" s="6"/>
      <c r="M861" s="6" t="str">
        <f>IF(OR(K861="",K861="Pending"),"",L861-J861)</f>
        <v> </v>
      </c>
      <c r="N861" s="6" t="str">
        <f>IF(M861="","",'Summary'!$B$4+SUM($M$2:M861))</f>
        <v> </v>
      </c>
    </row>
    <row r="862" spans="1:14">
      <c r="A862" s="2"/>
      <c r="B862" s="3"/>
      <c r="C862" s="3"/>
      <c r="D862" s="3"/>
      <c r="E862" s="3"/>
      <c r="F862" s="3"/>
      <c r="G862" s="3"/>
      <c r="H862" s="4"/>
      <c r="I862" s="5"/>
      <c r="J862" s="6"/>
      <c r="K862" s="3"/>
      <c r="L862" s="6"/>
      <c r="M862" s="6" t="str">
        <f>IF(OR(K862="",K862="Pending"),"",L862-J862)</f>
        <v> </v>
      </c>
      <c r="N862" s="6" t="str">
        <f>IF(M862="","",'Summary'!$B$4+SUM($M$2:M862))</f>
        <v> </v>
      </c>
    </row>
    <row r="863" spans="1:14">
      <c r="A863" s="2"/>
      <c r="B863" s="3"/>
      <c r="C863" s="3"/>
      <c r="D863" s="3"/>
      <c r="E863" s="3"/>
      <c r="F863" s="3"/>
      <c r="G863" s="3"/>
      <c r="H863" s="4"/>
      <c r="I863" s="5"/>
      <c r="J863" s="6"/>
      <c r="K863" s="3"/>
      <c r="L863" s="6"/>
      <c r="M863" s="6" t="str">
        <f>IF(OR(K863="",K863="Pending"),"",L863-J863)</f>
        <v> </v>
      </c>
      <c r="N863" s="6" t="str">
        <f>IF(M863="","",'Summary'!$B$4+SUM($M$2:M863))</f>
        <v> </v>
      </c>
    </row>
    <row r="864" spans="1:14">
      <c r="A864" s="2"/>
      <c r="B864" s="3"/>
      <c r="C864" s="3"/>
      <c r="D864" s="3"/>
      <c r="E864" s="3"/>
      <c r="F864" s="3"/>
      <c r="G864" s="3"/>
      <c r="H864" s="4"/>
      <c r="I864" s="5"/>
      <c r="J864" s="6"/>
      <c r="K864" s="3"/>
      <c r="L864" s="6"/>
      <c r="M864" s="6" t="str">
        <f>IF(OR(K864="",K864="Pending"),"",L864-J864)</f>
        <v> </v>
      </c>
      <c r="N864" s="6" t="str">
        <f>IF(M864="","",'Summary'!$B$4+SUM($M$2:M864))</f>
        <v> </v>
      </c>
    </row>
    <row r="865" spans="1:14">
      <c r="A865" s="2"/>
      <c r="B865" s="3"/>
      <c r="C865" s="3"/>
      <c r="D865" s="3"/>
      <c r="E865" s="3"/>
      <c r="F865" s="3"/>
      <c r="G865" s="3"/>
      <c r="H865" s="4"/>
      <c r="I865" s="5"/>
      <c r="J865" s="6"/>
      <c r="K865" s="3"/>
      <c r="L865" s="6"/>
      <c r="M865" s="6" t="str">
        <f>IF(OR(K865="",K865="Pending"),"",L865-J865)</f>
        <v> </v>
      </c>
      <c r="N865" s="6" t="str">
        <f>IF(M865="","",'Summary'!$B$4+SUM($M$2:M865))</f>
        <v> </v>
      </c>
    </row>
    <row r="866" spans="1:14">
      <c r="A866" s="2"/>
      <c r="B866" s="3"/>
      <c r="C866" s="3"/>
      <c r="D866" s="3"/>
      <c r="E866" s="3"/>
      <c r="F866" s="3"/>
      <c r="G866" s="3"/>
      <c r="H866" s="4"/>
      <c r="I866" s="5"/>
      <c r="J866" s="6"/>
      <c r="K866" s="3"/>
      <c r="L866" s="6"/>
      <c r="M866" s="6" t="str">
        <f>IF(OR(K866="",K866="Pending"),"",L866-J866)</f>
        <v> </v>
      </c>
      <c r="N866" s="6" t="str">
        <f>IF(M866="","",'Summary'!$B$4+SUM($M$2:M866))</f>
        <v> </v>
      </c>
    </row>
    <row r="867" spans="1:14">
      <c r="A867" s="2"/>
      <c r="B867" s="3"/>
      <c r="C867" s="3"/>
      <c r="D867" s="3"/>
      <c r="E867" s="3"/>
      <c r="F867" s="3"/>
      <c r="G867" s="3"/>
      <c r="H867" s="4"/>
      <c r="I867" s="5"/>
      <c r="J867" s="6"/>
      <c r="K867" s="3"/>
      <c r="L867" s="6"/>
      <c r="M867" s="6" t="str">
        <f>IF(OR(K867="",K867="Pending"),"",L867-J867)</f>
        <v> </v>
      </c>
      <c r="N867" s="6" t="str">
        <f>IF(M867="","",'Summary'!$B$4+SUM($M$2:M867))</f>
        <v> </v>
      </c>
    </row>
    <row r="868" spans="1:14">
      <c r="A868" s="2"/>
      <c r="B868" s="3"/>
      <c r="C868" s="3"/>
      <c r="D868" s="3"/>
      <c r="E868" s="3"/>
      <c r="F868" s="3"/>
      <c r="G868" s="3"/>
      <c r="H868" s="4"/>
      <c r="I868" s="5"/>
      <c r="J868" s="6"/>
      <c r="K868" s="3"/>
      <c r="L868" s="6"/>
      <c r="M868" s="6" t="str">
        <f>IF(OR(K868="",K868="Pending"),"",L868-J868)</f>
        <v> </v>
      </c>
      <c r="N868" s="6" t="str">
        <f>IF(M868="","",'Summary'!$B$4+SUM($M$2:M868))</f>
        <v> </v>
      </c>
    </row>
    <row r="869" spans="1:14">
      <c r="A869" s="2"/>
      <c r="B869" s="3"/>
      <c r="C869" s="3"/>
      <c r="D869" s="3"/>
      <c r="E869" s="3"/>
      <c r="F869" s="3"/>
      <c r="G869" s="3"/>
      <c r="H869" s="4"/>
      <c r="I869" s="5"/>
      <c r="J869" s="6"/>
      <c r="K869" s="3"/>
      <c r="L869" s="6"/>
      <c r="M869" s="6" t="str">
        <f>IF(OR(K869="",K869="Pending"),"",L869-J869)</f>
        <v> </v>
      </c>
      <c r="N869" s="6" t="str">
        <f>IF(M869="","",'Summary'!$B$4+SUM($M$2:M869))</f>
        <v> </v>
      </c>
    </row>
    <row r="870" spans="1:14">
      <c r="A870" s="2"/>
      <c r="B870" s="3"/>
      <c r="C870" s="3"/>
      <c r="D870" s="3"/>
      <c r="E870" s="3"/>
      <c r="F870" s="3"/>
      <c r="G870" s="3"/>
      <c r="H870" s="4"/>
      <c r="I870" s="5"/>
      <c r="J870" s="6"/>
      <c r="K870" s="3"/>
      <c r="L870" s="6"/>
      <c r="M870" s="6" t="str">
        <f>IF(OR(K870="",K870="Pending"),"",L870-J870)</f>
        <v> </v>
      </c>
      <c r="N870" s="6" t="str">
        <f>IF(M870="","",'Summary'!$B$4+SUM($M$2:M870))</f>
        <v> </v>
      </c>
    </row>
    <row r="871" spans="1:14">
      <c r="A871" s="2"/>
      <c r="B871" s="3"/>
      <c r="C871" s="3"/>
      <c r="D871" s="3"/>
      <c r="E871" s="3"/>
      <c r="F871" s="3"/>
      <c r="G871" s="3"/>
      <c r="H871" s="4"/>
      <c r="I871" s="5"/>
      <c r="J871" s="6"/>
      <c r="K871" s="3"/>
      <c r="L871" s="6"/>
      <c r="M871" s="6" t="str">
        <f>IF(OR(K871="",K871="Pending"),"",L871-J871)</f>
        <v> </v>
      </c>
      <c r="N871" s="6" t="str">
        <f>IF(M871="","",'Summary'!$B$4+SUM($M$2:M871))</f>
        <v> </v>
      </c>
    </row>
    <row r="872" spans="1:14">
      <c r="A872" s="2"/>
      <c r="B872" s="3"/>
      <c r="C872" s="3"/>
      <c r="D872" s="3"/>
      <c r="E872" s="3"/>
      <c r="F872" s="3"/>
      <c r="G872" s="3"/>
      <c r="H872" s="4"/>
      <c r="I872" s="5"/>
      <c r="J872" s="6"/>
      <c r="K872" s="3"/>
      <c r="L872" s="6"/>
      <c r="M872" s="6" t="str">
        <f>IF(OR(K872="",K872="Pending"),"",L872-J872)</f>
        <v> </v>
      </c>
      <c r="N872" s="6" t="str">
        <f>IF(M872="","",'Summary'!$B$4+SUM($M$2:M872))</f>
        <v> </v>
      </c>
    </row>
    <row r="873" spans="1:14">
      <c r="A873" s="2"/>
      <c r="B873" s="3"/>
      <c r="C873" s="3"/>
      <c r="D873" s="3"/>
      <c r="E873" s="3"/>
      <c r="F873" s="3"/>
      <c r="G873" s="3"/>
      <c r="H873" s="4"/>
      <c r="I873" s="5"/>
      <c r="J873" s="6"/>
      <c r="K873" s="3"/>
      <c r="L873" s="6"/>
      <c r="M873" s="6" t="str">
        <f>IF(OR(K873="",K873="Pending"),"",L873-J873)</f>
        <v> </v>
      </c>
      <c r="N873" s="6" t="str">
        <f>IF(M873="","",'Summary'!$B$4+SUM($M$2:M873))</f>
        <v> </v>
      </c>
    </row>
    <row r="874" spans="1:14">
      <c r="A874" s="2"/>
      <c r="B874" s="3"/>
      <c r="C874" s="3"/>
      <c r="D874" s="3"/>
      <c r="E874" s="3"/>
      <c r="F874" s="3"/>
      <c r="G874" s="3"/>
      <c r="H874" s="4"/>
      <c r="I874" s="5"/>
      <c r="J874" s="6"/>
      <c r="K874" s="3"/>
      <c r="L874" s="6"/>
      <c r="M874" s="6" t="str">
        <f>IF(OR(K874="",K874="Pending"),"",L874-J874)</f>
        <v> </v>
      </c>
      <c r="N874" s="6" t="str">
        <f>IF(M874="","",'Summary'!$B$4+SUM($M$2:M874))</f>
        <v> </v>
      </c>
    </row>
    <row r="875" spans="1:14">
      <c r="A875" s="2"/>
      <c r="B875" s="3"/>
      <c r="C875" s="3"/>
      <c r="D875" s="3"/>
      <c r="E875" s="3"/>
      <c r="F875" s="3"/>
      <c r="G875" s="3"/>
      <c r="H875" s="4"/>
      <c r="I875" s="5"/>
      <c r="J875" s="6"/>
      <c r="K875" s="3"/>
      <c r="L875" s="6"/>
      <c r="M875" s="6" t="str">
        <f>IF(OR(K875="",K875="Pending"),"",L875-J875)</f>
        <v> </v>
      </c>
      <c r="N875" s="6" t="str">
        <f>IF(M875="","",'Summary'!$B$4+SUM($M$2:M875))</f>
        <v> </v>
      </c>
    </row>
    <row r="876" spans="1:14">
      <c r="A876" s="2"/>
      <c r="B876" s="3"/>
      <c r="C876" s="3"/>
      <c r="D876" s="3"/>
      <c r="E876" s="3"/>
      <c r="F876" s="3"/>
      <c r="G876" s="3"/>
      <c r="H876" s="4"/>
      <c r="I876" s="5"/>
      <c r="J876" s="6"/>
      <c r="K876" s="3"/>
      <c r="L876" s="6"/>
      <c r="M876" s="6" t="str">
        <f>IF(OR(K876="",K876="Pending"),"",L876-J876)</f>
        <v> </v>
      </c>
      <c r="N876" s="6" t="str">
        <f>IF(M876="","",'Summary'!$B$4+SUM($M$2:M876))</f>
        <v> </v>
      </c>
    </row>
    <row r="877" spans="1:14">
      <c r="A877" s="2"/>
      <c r="B877" s="3"/>
      <c r="C877" s="3"/>
      <c r="D877" s="3"/>
      <c r="E877" s="3"/>
      <c r="F877" s="3"/>
      <c r="G877" s="3"/>
      <c r="H877" s="4"/>
      <c r="I877" s="5"/>
      <c r="J877" s="6"/>
      <c r="K877" s="3"/>
      <c r="L877" s="6"/>
      <c r="M877" s="6" t="str">
        <f>IF(OR(K877="",K877="Pending"),"",L877-J877)</f>
        <v> </v>
      </c>
      <c r="N877" s="6" t="str">
        <f>IF(M877="","",'Summary'!$B$4+SUM($M$2:M877))</f>
        <v> </v>
      </c>
    </row>
    <row r="878" spans="1:14">
      <c r="A878" s="2"/>
      <c r="B878" s="3"/>
      <c r="C878" s="3"/>
      <c r="D878" s="3"/>
      <c r="E878" s="3"/>
      <c r="F878" s="3"/>
      <c r="G878" s="3"/>
      <c r="H878" s="4"/>
      <c r="I878" s="5"/>
      <c r="J878" s="6"/>
      <c r="K878" s="3"/>
      <c r="L878" s="6"/>
      <c r="M878" s="6" t="str">
        <f>IF(OR(K878="",K878="Pending"),"",L878-J878)</f>
        <v> </v>
      </c>
      <c r="N878" s="6" t="str">
        <f>IF(M878="","",'Summary'!$B$4+SUM($M$2:M878))</f>
        <v> </v>
      </c>
    </row>
    <row r="879" spans="1:14">
      <c r="A879" s="2"/>
      <c r="B879" s="3"/>
      <c r="C879" s="3"/>
      <c r="D879" s="3"/>
      <c r="E879" s="3"/>
      <c r="F879" s="3"/>
      <c r="G879" s="3"/>
      <c r="H879" s="4"/>
      <c r="I879" s="5"/>
      <c r="J879" s="6"/>
      <c r="K879" s="3"/>
      <c r="L879" s="6"/>
      <c r="M879" s="6" t="str">
        <f>IF(OR(K879="",K879="Pending"),"",L879-J879)</f>
        <v> </v>
      </c>
      <c r="N879" s="6" t="str">
        <f>IF(M879="","",'Summary'!$B$4+SUM($M$2:M879))</f>
        <v> </v>
      </c>
    </row>
    <row r="880" spans="1:14">
      <c r="A880" s="2"/>
      <c r="B880" s="3"/>
      <c r="C880" s="3"/>
      <c r="D880" s="3"/>
      <c r="E880" s="3"/>
      <c r="F880" s="3"/>
      <c r="G880" s="3"/>
      <c r="H880" s="4"/>
      <c r="I880" s="5"/>
      <c r="J880" s="6"/>
      <c r="K880" s="3"/>
      <c r="L880" s="6"/>
      <c r="M880" s="6" t="str">
        <f>IF(OR(K880="",K880="Pending"),"",L880-J880)</f>
        <v> </v>
      </c>
      <c r="N880" s="6" t="str">
        <f>IF(M880="","",'Summary'!$B$4+SUM($M$2:M880))</f>
        <v> </v>
      </c>
    </row>
    <row r="881" spans="1:14">
      <c r="A881" s="2"/>
      <c r="B881" s="3"/>
      <c r="C881" s="3"/>
      <c r="D881" s="3"/>
      <c r="E881" s="3"/>
      <c r="F881" s="3"/>
      <c r="G881" s="3"/>
      <c r="H881" s="4"/>
      <c r="I881" s="5"/>
      <c r="J881" s="6"/>
      <c r="K881" s="3"/>
      <c r="L881" s="6"/>
      <c r="M881" s="6" t="str">
        <f>IF(OR(K881="",K881="Pending"),"",L881-J881)</f>
        <v> </v>
      </c>
      <c r="N881" s="6" t="str">
        <f>IF(M881="","",'Summary'!$B$4+SUM($M$2:M881))</f>
        <v> </v>
      </c>
    </row>
    <row r="882" spans="1:14">
      <c r="A882" s="2"/>
      <c r="B882" s="3"/>
      <c r="C882" s="3"/>
      <c r="D882" s="3"/>
      <c r="E882" s="3"/>
      <c r="F882" s="3"/>
      <c r="G882" s="3"/>
      <c r="H882" s="4"/>
      <c r="I882" s="5"/>
      <c r="J882" s="6"/>
      <c r="K882" s="3"/>
      <c r="L882" s="6"/>
      <c r="M882" s="6" t="str">
        <f>IF(OR(K882="",K882="Pending"),"",L882-J882)</f>
        <v> </v>
      </c>
      <c r="N882" s="6" t="str">
        <f>IF(M882="","",'Summary'!$B$4+SUM($M$2:M882))</f>
        <v> </v>
      </c>
    </row>
    <row r="883" spans="1:14">
      <c r="A883" s="2"/>
      <c r="B883" s="3"/>
      <c r="C883" s="3"/>
      <c r="D883" s="3"/>
      <c r="E883" s="3"/>
      <c r="F883" s="3"/>
      <c r="G883" s="3"/>
      <c r="H883" s="4"/>
      <c r="I883" s="5"/>
      <c r="J883" s="6"/>
      <c r="K883" s="3"/>
      <c r="L883" s="6"/>
      <c r="M883" s="6" t="str">
        <f>IF(OR(K883="",K883="Pending"),"",L883-J883)</f>
        <v> </v>
      </c>
      <c r="N883" s="6" t="str">
        <f>IF(M883="","",'Summary'!$B$4+SUM($M$2:M883))</f>
        <v> </v>
      </c>
    </row>
    <row r="884" spans="1:14">
      <c r="A884" s="2"/>
      <c r="B884" s="3"/>
      <c r="C884" s="3"/>
      <c r="D884" s="3"/>
      <c r="E884" s="3"/>
      <c r="F884" s="3"/>
      <c r="G884" s="3"/>
      <c r="H884" s="4"/>
      <c r="I884" s="5"/>
      <c r="J884" s="6"/>
      <c r="K884" s="3"/>
      <c r="L884" s="6"/>
      <c r="M884" s="6" t="str">
        <f>IF(OR(K884="",K884="Pending"),"",L884-J884)</f>
        <v> </v>
      </c>
      <c r="N884" s="6" t="str">
        <f>IF(M884="","",'Summary'!$B$4+SUM($M$2:M884))</f>
        <v> </v>
      </c>
    </row>
    <row r="885" spans="1:14">
      <c r="A885" s="2"/>
      <c r="B885" s="3"/>
      <c r="C885" s="3"/>
      <c r="D885" s="3"/>
      <c r="E885" s="3"/>
      <c r="F885" s="3"/>
      <c r="G885" s="3"/>
      <c r="H885" s="4"/>
      <c r="I885" s="5"/>
      <c r="J885" s="6"/>
      <c r="K885" s="3"/>
      <c r="L885" s="6"/>
      <c r="M885" s="6" t="str">
        <f>IF(OR(K885="",K885="Pending"),"",L885-J885)</f>
        <v> </v>
      </c>
      <c r="N885" s="6" t="str">
        <f>IF(M885="","",'Summary'!$B$4+SUM($M$2:M885))</f>
        <v> </v>
      </c>
    </row>
    <row r="886" spans="1:14">
      <c r="A886" s="2"/>
      <c r="B886" s="3"/>
      <c r="C886" s="3"/>
      <c r="D886" s="3"/>
      <c r="E886" s="3"/>
      <c r="F886" s="3"/>
      <c r="G886" s="3"/>
      <c r="H886" s="4"/>
      <c r="I886" s="5"/>
      <c r="J886" s="6"/>
      <c r="K886" s="3"/>
      <c r="L886" s="6"/>
      <c r="M886" s="6" t="str">
        <f>IF(OR(K886="",K886="Pending"),"",L886-J886)</f>
        <v> </v>
      </c>
      <c r="N886" s="6" t="str">
        <f>IF(M886="","",'Summary'!$B$4+SUM($M$2:M886))</f>
        <v> </v>
      </c>
    </row>
    <row r="887" spans="1:14">
      <c r="A887" s="2"/>
      <c r="B887" s="3"/>
      <c r="C887" s="3"/>
      <c r="D887" s="3"/>
      <c r="E887" s="3"/>
      <c r="F887" s="3"/>
      <c r="G887" s="3"/>
      <c r="H887" s="4"/>
      <c r="I887" s="5"/>
      <c r="J887" s="6"/>
      <c r="K887" s="3"/>
      <c r="L887" s="6"/>
      <c r="M887" s="6" t="str">
        <f>IF(OR(K887="",K887="Pending"),"",L887-J887)</f>
        <v> </v>
      </c>
      <c r="N887" s="6" t="str">
        <f>IF(M887="","",'Summary'!$B$4+SUM($M$2:M887))</f>
        <v> </v>
      </c>
    </row>
    <row r="888" spans="1:14">
      <c r="A888" s="2"/>
      <c r="B888" s="3"/>
      <c r="C888" s="3"/>
      <c r="D888" s="3"/>
      <c r="E888" s="3"/>
      <c r="F888" s="3"/>
      <c r="G888" s="3"/>
      <c r="H888" s="4"/>
      <c r="I888" s="5"/>
      <c r="J888" s="6"/>
      <c r="K888" s="3"/>
      <c r="L888" s="6"/>
      <c r="M888" s="6" t="str">
        <f>IF(OR(K888="",K888="Pending"),"",L888-J888)</f>
        <v> </v>
      </c>
      <c r="N888" s="6" t="str">
        <f>IF(M888="","",'Summary'!$B$4+SUM($M$2:M888))</f>
        <v> </v>
      </c>
    </row>
    <row r="889" spans="1:14">
      <c r="A889" s="2"/>
      <c r="B889" s="3"/>
      <c r="C889" s="3"/>
      <c r="D889" s="3"/>
      <c r="E889" s="3"/>
      <c r="F889" s="3"/>
      <c r="G889" s="3"/>
      <c r="H889" s="4"/>
      <c r="I889" s="5"/>
      <c r="J889" s="6"/>
      <c r="K889" s="3"/>
      <c r="L889" s="6"/>
      <c r="M889" s="6" t="str">
        <f>IF(OR(K889="",K889="Pending"),"",L889-J889)</f>
        <v> </v>
      </c>
      <c r="N889" s="6" t="str">
        <f>IF(M889="","",'Summary'!$B$4+SUM($M$2:M889))</f>
        <v> </v>
      </c>
    </row>
    <row r="890" spans="1:14">
      <c r="A890" s="2"/>
      <c r="B890" s="3"/>
      <c r="C890" s="3"/>
      <c r="D890" s="3"/>
      <c r="E890" s="3"/>
      <c r="F890" s="3"/>
      <c r="G890" s="3"/>
      <c r="H890" s="4"/>
      <c r="I890" s="5"/>
      <c r="J890" s="6"/>
      <c r="K890" s="3"/>
      <c r="L890" s="6"/>
      <c r="M890" s="6" t="str">
        <f>IF(OR(K890="",K890="Pending"),"",L890-J890)</f>
        <v> </v>
      </c>
      <c r="N890" s="6" t="str">
        <f>IF(M890="","",'Summary'!$B$4+SUM($M$2:M890))</f>
        <v> </v>
      </c>
    </row>
    <row r="891" spans="1:14">
      <c r="A891" s="2"/>
      <c r="B891" s="3"/>
      <c r="C891" s="3"/>
      <c r="D891" s="3"/>
      <c r="E891" s="3"/>
      <c r="F891" s="3"/>
      <c r="G891" s="3"/>
      <c r="H891" s="4"/>
      <c r="I891" s="5"/>
      <c r="J891" s="6"/>
      <c r="K891" s="3"/>
      <c r="L891" s="6"/>
      <c r="M891" s="6" t="str">
        <f>IF(OR(K891="",K891="Pending"),"",L891-J891)</f>
        <v> </v>
      </c>
      <c r="N891" s="6" t="str">
        <f>IF(M891="","",'Summary'!$B$4+SUM($M$2:M891))</f>
        <v> </v>
      </c>
    </row>
    <row r="892" spans="1:14">
      <c r="A892" s="2"/>
      <c r="B892" s="3"/>
      <c r="C892" s="3"/>
      <c r="D892" s="3"/>
      <c r="E892" s="3"/>
      <c r="F892" s="3"/>
      <c r="G892" s="3"/>
      <c r="H892" s="4"/>
      <c r="I892" s="5"/>
      <c r="J892" s="6"/>
      <c r="K892" s="3"/>
      <c r="L892" s="6"/>
      <c r="M892" s="6" t="str">
        <f>IF(OR(K892="",K892="Pending"),"",L892-J892)</f>
        <v> </v>
      </c>
      <c r="N892" s="6" t="str">
        <f>IF(M892="","",'Summary'!$B$4+SUM($M$2:M892))</f>
        <v> </v>
      </c>
    </row>
    <row r="893" spans="1:14">
      <c r="A893" s="2"/>
      <c r="B893" s="3"/>
      <c r="C893" s="3"/>
      <c r="D893" s="3"/>
      <c r="E893" s="3"/>
      <c r="F893" s="3"/>
      <c r="G893" s="3"/>
      <c r="H893" s="4"/>
      <c r="I893" s="5"/>
      <c r="J893" s="6"/>
      <c r="K893" s="3"/>
      <c r="L893" s="6"/>
      <c r="M893" s="6" t="str">
        <f>IF(OR(K893="",K893="Pending"),"",L893-J893)</f>
        <v> </v>
      </c>
      <c r="N893" s="6" t="str">
        <f>IF(M893="","",'Summary'!$B$4+SUM($M$2:M893))</f>
        <v> </v>
      </c>
    </row>
    <row r="894" spans="1:14">
      <c r="A894" s="2"/>
      <c r="B894" s="3"/>
      <c r="C894" s="3"/>
      <c r="D894" s="3"/>
      <c r="E894" s="3"/>
      <c r="F894" s="3"/>
      <c r="G894" s="3"/>
      <c r="H894" s="4"/>
      <c r="I894" s="5"/>
      <c r="J894" s="6"/>
      <c r="K894" s="3"/>
      <c r="L894" s="6"/>
      <c r="M894" s="6" t="str">
        <f>IF(OR(K894="",K894="Pending"),"",L894-J894)</f>
        <v> </v>
      </c>
      <c r="N894" s="6" t="str">
        <f>IF(M894="","",'Summary'!$B$4+SUM($M$2:M894))</f>
        <v> </v>
      </c>
    </row>
    <row r="895" spans="1:14">
      <c r="A895" s="2"/>
      <c r="B895" s="3"/>
      <c r="C895" s="3"/>
      <c r="D895" s="3"/>
      <c r="E895" s="3"/>
      <c r="F895" s="3"/>
      <c r="G895" s="3"/>
      <c r="H895" s="4"/>
      <c r="I895" s="5"/>
      <c r="J895" s="6"/>
      <c r="K895" s="3"/>
      <c r="L895" s="6"/>
      <c r="M895" s="6" t="str">
        <f>IF(OR(K895="",K895="Pending"),"",L895-J895)</f>
        <v> </v>
      </c>
      <c r="N895" s="6" t="str">
        <f>IF(M895="","",'Summary'!$B$4+SUM($M$2:M895))</f>
        <v> </v>
      </c>
    </row>
    <row r="896" spans="1:14">
      <c r="A896" s="2"/>
      <c r="B896" s="3"/>
      <c r="C896" s="3"/>
      <c r="D896" s="3"/>
      <c r="E896" s="3"/>
      <c r="F896" s="3"/>
      <c r="G896" s="3"/>
      <c r="H896" s="4"/>
      <c r="I896" s="5"/>
      <c r="J896" s="6"/>
      <c r="K896" s="3"/>
      <c r="L896" s="6"/>
      <c r="M896" s="6" t="str">
        <f>IF(OR(K896="",K896="Pending"),"",L896-J896)</f>
        <v> </v>
      </c>
      <c r="N896" s="6" t="str">
        <f>IF(M896="","",'Summary'!$B$4+SUM($M$2:M896))</f>
        <v> </v>
      </c>
    </row>
    <row r="897" spans="1:14">
      <c r="A897" s="2"/>
      <c r="B897" s="3"/>
      <c r="C897" s="3"/>
      <c r="D897" s="3"/>
      <c r="E897" s="3"/>
      <c r="F897" s="3"/>
      <c r="G897" s="3"/>
      <c r="H897" s="4"/>
      <c r="I897" s="5"/>
      <c r="J897" s="6"/>
      <c r="K897" s="3"/>
      <c r="L897" s="6"/>
      <c r="M897" s="6" t="str">
        <f>IF(OR(K897="",K897="Pending"),"",L897-J897)</f>
        <v> </v>
      </c>
      <c r="N897" s="6" t="str">
        <f>IF(M897="","",'Summary'!$B$4+SUM($M$2:M897))</f>
        <v> </v>
      </c>
    </row>
    <row r="898" spans="1:14">
      <c r="A898" s="2"/>
      <c r="B898" s="3"/>
      <c r="C898" s="3"/>
      <c r="D898" s="3"/>
      <c r="E898" s="3"/>
      <c r="F898" s="3"/>
      <c r="G898" s="3"/>
      <c r="H898" s="4"/>
      <c r="I898" s="5"/>
      <c r="J898" s="6"/>
      <c r="K898" s="3"/>
      <c r="L898" s="6"/>
      <c r="M898" s="6" t="str">
        <f>IF(OR(K898="",K898="Pending"),"",L898-J898)</f>
        <v> </v>
      </c>
      <c r="N898" s="6" t="str">
        <f>IF(M898="","",'Summary'!$B$4+SUM($M$2:M898))</f>
        <v> </v>
      </c>
    </row>
    <row r="899" spans="1:14">
      <c r="A899" s="2"/>
      <c r="B899" s="3"/>
      <c r="C899" s="3"/>
      <c r="D899" s="3"/>
      <c r="E899" s="3"/>
      <c r="F899" s="3"/>
      <c r="G899" s="3"/>
      <c r="H899" s="4"/>
      <c r="I899" s="5"/>
      <c r="J899" s="6"/>
      <c r="K899" s="3"/>
      <c r="L899" s="6"/>
      <c r="M899" s="6" t="str">
        <f>IF(OR(K899="",K899="Pending"),"",L899-J899)</f>
        <v> </v>
      </c>
      <c r="N899" s="6" t="str">
        <f>IF(M899="","",'Summary'!$B$4+SUM($M$2:M899))</f>
        <v> </v>
      </c>
    </row>
    <row r="900" spans="1:14">
      <c r="A900" s="2"/>
      <c r="B900" s="3"/>
      <c r="C900" s="3"/>
      <c r="D900" s="3"/>
      <c r="E900" s="3"/>
      <c r="F900" s="3"/>
      <c r="G900" s="3"/>
      <c r="H900" s="4"/>
      <c r="I900" s="5"/>
      <c r="J900" s="6"/>
      <c r="K900" s="3"/>
      <c r="L900" s="6"/>
      <c r="M900" s="6" t="str">
        <f>IF(OR(K900="",K900="Pending"),"",L900-J900)</f>
        <v> </v>
      </c>
      <c r="N900" s="6" t="str">
        <f>IF(M900="","",'Summary'!$B$4+SUM($M$2:M900))</f>
        <v> </v>
      </c>
    </row>
    <row r="901" spans="1:14">
      <c r="A901" s="2"/>
      <c r="B901" s="3"/>
      <c r="C901" s="3"/>
      <c r="D901" s="3"/>
      <c r="E901" s="3"/>
      <c r="F901" s="3"/>
      <c r="G901" s="3"/>
      <c r="H901" s="4"/>
      <c r="I901" s="5"/>
      <c r="J901" s="6"/>
      <c r="K901" s="3"/>
      <c r="L901" s="6"/>
      <c r="M901" s="6" t="str">
        <f>IF(OR(K901="",K901="Pending"),"",L901-J901)</f>
        <v> </v>
      </c>
      <c r="N901" s="6" t="str">
        <f>IF(M901="","",'Summary'!$B$4+SUM($M$2:M901))</f>
        <v> </v>
      </c>
    </row>
    <row r="902" spans="1:14">
      <c r="A902" s="2"/>
      <c r="B902" s="3"/>
      <c r="C902" s="3"/>
      <c r="D902" s="3"/>
      <c r="E902" s="3"/>
      <c r="F902" s="3"/>
      <c r="G902" s="3"/>
      <c r="H902" s="4"/>
      <c r="I902" s="5"/>
      <c r="J902" s="6"/>
      <c r="K902" s="3"/>
      <c r="L902" s="6"/>
      <c r="M902" s="6" t="str">
        <f>IF(OR(K902="",K902="Pending"),"",L902-J902)</f>
        <v> </v>
      </c>
      <c r="N902" s="6" t="str">
        <f>IF(M902="","",'Summary'!$B$4+SUM($M$2:M902))</f>
        <v> </v>
      </c>
    </row>
    <row r="903" spans="1:14">
      <c r="A903" s="2"/>
      <c r="B903" s="3"/>
      <c r="C903" s="3"/>
      <c r="D903" s="3"/>
      <c r="E903" s="3"/>
      <c r="F903" s="3"/>
      <c r="G903" s="3"/>
      <c r="H903" s="4"/>
      <c r="I903" s="5"/>
      <c r="J903" s="6"/>
      <c r="K903" s="3"/>
      <c r="L903" s="6"/>
      <c r="M903" s="6" t="str">
        <f>IF(OR(K903="",K903="Pending"),"",L903-J903)</f>
        <v> </v>
      </c>
      <c r="N903" s="6" t="str">
        <f>IF(M903="","",'Summary'!$B$4+SUM($M$2:M903))</f>
        <v> </v>
      </c>
    </row>
    <row r="904" spans="1:14">
      <c r="A904" s="2"/>
      <c r="B904" s="3"/>
      <c r="C904" s="3"/>
      <c r="D904" s="3"/>
      <c r="E904" s="3"/>
      <c r="F904" s="3"/>
      <c r="G904" s="3"/>
      <c r="H904" s="4"/>
      <c r="I904" s="5"/>
      <c r="J904" s="6"/>
      <c r="K904" s="3"/>
      <c r="L904" s="6"/>
      <c r="M904" s="6" t="str">
        <f>IF(OR(K904="",K904="Pending"),"",L904-J904)</f>
        <v> </v>
      </c>
      <c r="N904" s="6" t="str">
        <f>IF(M904="","",'Summary'!$B$4+SUM($M$2:M904))</f>
        <v> </v>
      </c>
    </row>
    <row r="905" spans="1:14">
      <c r="A905" s="2"/>
      <c r="B905" s="3"/>
      <c r="C905" s="3"/>
      <c r="D905" s="3"/>
      <c r="E905" s="3"/>
      <c r="F905" s="3"/>
      <c r="G905" s="3"/>
      <c r="H905" s="4"/>
      <c r="I905" s="5"/>
      <c r="J905" s="6"/>
      <c r="K905" s="3"/>
      <c r="L905" s="6"/>
      <c r="M905" s="6" t="str">
        <f>IF(OR(K905="",K905="Pending"),"",L905-J905)</f>
        <v> </v>
      </c>
      <c r="N905" s="6" t="str">
        <f>IF(M905="","",'Summary'!$B$4+SUM($M$2:M905))</f>
        <v> </v>
      </c>
    </row>
    <row r="906" spans="1:14">
      <c r="A906" s="2"/>
      <c r="B906" s="3"/>
      <c r="C906" s="3"/>
      <c r="D906" s="3"/>
      <c r="E906" s="3"/>
      <c r="F906" s="3"/>
      <c r="G906" s="3"/>
      <c r="H906" s="4"/>
      <c r="I906" s="5"/>
      <c r="J906" s="6"/>
      <c r="K906" s="3"/>
      <c r="L906" s="6"/>
      <c r="M906" s="6" t="str">
        <f>IF(OR(K906="",K906="Pending"),"",L906-J906)</f>
        <v> </v>
      </c>
      <c r="N906" s="6" t="str">
        <f>IF(M906="","",'Summary'!$B$4+SUM($M$2:M906))</f>
        <v> </v>
      </c>
    </row>
    <row r="907" spans="1:14">
      <c r="A907" s="2"/>
      <c r="B907" s="3"/>
      <c r="C907" s="3"/>
      <c r="D907" s="3"/>
      <c r="E907" s="3"/>
      <c r="F907" s="3"/>
      <c r="G907" s="3"/>
      <c r="H907" s="4"/>
      <c r="I907" s="5"/>
      <c r="J907" s="6"/>
      <c r="K907" s="3"/>
      <c r="L907" s="6"/>
      <c r="M907" s="6" t="str">
        <f>IF(OR(K907="",K907="Pending"),"",L907-J907)</f>
        <v> </v>
      </c>
      <c r="N907" s="6" t="str">
        <f>IF(M907="","",'Summary'!$B$4+SUM($M$2:M907))</f>
        <v> </v>
      </c>
    </row>
    <row r="908" spans="1:14">
      <c r="A908" s="2"/>
      <c r="B908" s="3"/>
      <c r="C908" s="3"/>
      <c r="D908" s="3"/>
      <c r="E908" s="3"/>
      <c r="F908" s="3"/>
      <c r="G908" s="3"/>
      <c r="H908" s="4"/>
      <c r="I908" s="5"/>
      <c r="J908" s="6"/>
      <c r="K908" s="3"/>
      <c r="L908" s="6"/>
      <c r="M908" s="6" t="str">
        <f>IF(OR(K908="",K908="Pending"),"",L908-J908)</f>
        <v> </v>
      </c>
      <c r="N908" s="6" t="str">
        <f>IF(M908="","",'Summary'!$B$4+SUM($M$2:M908))</f>
        <v> </v>
      </c>
    </row>
    <row r="909" spans="1:14">
      <c r="A909" s="2"/>
      <c r="B909" s="3"/>
      <c r="C909" s="3"/>
      <c r="D909" s="3"/>
      <c r="E909" s="3"/>
      <c r="F909" s="3"/>
      <c r="G909" s="3"/>
      <c r="H909" s="4"/>
      <c r="I909" s="5"/>
      <c r="J909" s="6"/>
      <c r="K909" s="3"/>
      <c r="L909" s="6"/>
      <c r="M909" s="6" t="str">
        <f>IF(OR(K909="",K909="Pending"),"",L909-J909)</f>
        <v> </v>
      </c>
      <c r="N909" s="6" t="str">
        <f>IF(M909="","",'Summary'!$B$4+SUM($M$2:M909))</f>
        <v> </v>
      </c>
    </row>
    <row r="910" spans="1:14">
      <c r="A910" s="2"/>
      <c r="B910" s="3"/>
      <c r="C910" s="3"/>
      <c r="D910" s="3"/>
      <c r="E910" s="3"/>
      <c r="F910" s="3"/>
      <c r="G910" s="3"/>
      <c r="H910" s="4"/>
      <c r="I910" s="5"/>
      <c r="J910" s="6"/>
      <c r="K910" s="3"/>
      <c r="L910" s="6"/>
      <c r="M910" s="6" t="str">
        <f>IF(OR(K910="",K910="Pending"),"",L910-J910)</f>
        <v> </v>
      </c>
      <c r="N910" s="6" t="str">
        <f>IF(M910="","",'Summary'!$B$4+SUM($M$2:M910))</f>
        <v> </v>
      </c>
    </row>
    <row r="911" spans="1:14">
      <c r="A911" s="2"/>
      <c r="B911" s="3"/>
      <c r="C911" s="3"/>
      <c r="D911" s="3"/>
      <c r="E911" s="3"/>
      <c r="F911" s="3"/>
      <c r="G911" s="3"/>
      <c r="H911" s="4"/>
      <c r="I911" s="5"/>
      <c r="J911" s="6"/>
      <c r="K911" s="3"/>
      <c r="L911" s="6"/>
      <c r="M911" s="6" t="str">
        <f>IF(OR(K911="",K911="Pending"),"",L911-J911)</f>
        <v> </v>
      </c>
      <c r="N911" s="6" t="str">
        <f>IF(M911="","",'Summary'!$B$4+SUM($M$2:M911))</f>
        <v> </v>
      </c>
    </row>
    <row r="912" spans="1:14">
      <c r="A912" s="2"/>
      <c r="B912" s="3"/>
      <c r="C912" s="3"/>
      <c r="D912" s="3"/>
      <c r="E912" s="3"/>
      <c r="F912" s="3"/>
      <c r="G912" s="3"/>
      <c r="H912" s="4"/>
      <c r="I912" s="5"/>
      <c r="J912" s="6"/>
      <c r="K912" s="3"/>
      <c r="L912" s="6"/>
      <c r="M912" s="6" t="str">
        <f>IF(OR(K912="",K912="Pending"),"",L912-J912)</f>
        <v> </v>
      </c>
      <c r="N912" s="6" t="str">
        <f>IF(M912="","",'Summary'!$B$4+SUM($M$2:M912))</f>
        <v> </v>
      </c>
    </row>
    <row r="913" spans="1:14">
      <c r="A913" s="2"/>
      <c r="B913" s="3"/>
      <c r="C913" s="3"/>
      <c r="D913" s="3"/>
      <c r="E913" s="3"/>
      <c r="F913" s="3"/>
      <c r="G913" s="3"/>
      <c r="H913" s="4"/>
      <c r="I913" s="5"/>
      <c r="J913" s="6"/>
      <c r="K913" s="3"/>
      <c r="L913" s="6"/>
      <c r="M913" s="6" t="str">
        <f>IF(OR(K913="",K913="Pending"),"",L913-J913)</f>
        <v> </v>
      </c>
      <c r="N913" s="6" t="str">
        <f>IF(M913="","",'Summary'!$B$4+SUM($M$2:M913))</f>
        <v> </v>
      </c>
    </row>
    <row r="914" spans="1:14">
      <c r="A914" s="2"/>
      <c r="B914" s="3"/>
      <c r="C914" s="3"/>
      <c r="D914" s="3"/>
      <c r="E914" s="3"/>
      <c r="F914" s="3"/>
      <c r="G914" s="3"/>
      <c r="H914" s="4"/>
      <c r="I914" s="5"/>
      <c r="J914" s="6"/>
      <c r="K914" s="3"/>
      <c r="L914" s="6"/>
      <c r="M914" s="6" t="str">
        <f>IF(OR(K914="",K914="Pending"),"",L914-J914)</f>
        <v> </v>
      </c>
      <c r="N914" s="6" t="str">
        <f>IF(M914="","",'Summary'!$B$4+SUM($M$2:M914))</f>
        <v> </v>
      </c>
    </row>
    <row r="915" spans="1:14">
      <c r="A915" s="2"/>
      <c r="B915" s="3"/>
      <c r="C915" s="3"/>
      <c r="D915" s="3"/>
      <c r="E915" s="3"/>
      <c r="F915" s="3"/>
      <c r="G915" s="3"/>
      <c r="H915" s="4"/>
      <c r="I915" s="5"/>
      <c r="J915" s="6"/>
      <c r="K915" s="3"/>
      <c r="L915" s="6"/>
      <c r="M915" s="6" t="str">
        <f>IF(OR(K915="",K915="Pending"),"",L915-J915)</f>
        <v> </v>
      </c>
      <c r="N915" s="6" t="str">
        <f>IF(M915="","",'Summary'!$B$4+SUM($M$2:M915))</f>
        <v> </v>
      </c>
    </row>
    <row r="916" spans="1:14">
      <c r="A916" s="2"/>
      <c r="B916" s="3"/>
      <c r="C916" s="3"/>
      <c r="D916" s="3"/>
      <c r="E916" s="3"/>
      <c r="F916" s="3"/>
      <c r="G916" s="3"/>
      <c r="H916" s="4"/>
      <c r="I916" s="5"/>
      <c r="J916" s="6"/>
      <c r="K916" s="3"/>
      <c r="L916" s="6"/>
      <c r="M916" s="6" t="str">
        <f>IF(OR(K916="",K916="Pending"),"",L916-J916)</f>
        <v> </v>
      </c>
      <c r="N916" s="6" t="str">
        <f>IF(M916="","",'Summary'!$B$4+SUM($M$2:M916))</f>
        <v> </v>
      </c>
    </row>
    <row r="917" spans="1:14">
      <c r="A917" s="2"/>
      <c r="B917" s="3"/>
      <c r="C917" s="3"/>
      <c r="D917" s="3"/>
      <c r="E917" s="3"/>
      <c r="F917" s="3"/>
      <c r="G917" s="3"/>
      <c r="H917" s="4"/>
      <c r="I917" s="5"/>
      <c r="J917" s="6"/>
      <c r="K917" s="3"/>
      <c r="L917" s="6"/>
      <c r="M917" s="6" t="str">
        <f>IF(OR(K917="",K917="Pending"),"",L917-J917)</f>
        <v> </v>
      </c>
      <c r="N917" s="6" t="str">
        <f>IF(M917="","",'Summary'!$B$4+SUM($M$2:M917))</f>
        <v> </v>
      </c>
    </row>
    <row r="918" spans="1:14">
      <c r="A918" s="2"/>
      <c r="B918" s="3"/>
      <c r="C918" s="3"/>
      <c r="D918" s="3"/>
      <c r="E918" s="3"/>
      <c r="F918" s="3"/>
      <c r="G918" s="3"/>
      <c r="H918" s="4"/>
      <c r="I918" s="5"/>
      <c r="J918" s="6"/>
      <c r="K918" s="3"/>
      <c r="L918" s="6"/>
      <c r="M918" s="6" t="str">
        <f>IF(OR(K918="",K918="Pending"),"",L918-J918)</f>
        <v> </v>
      </c>
      <c r="N918" s="6" t="str">
        <f>IF(M918="","",'Summary'!$B$4+SUM($M$2:M918))</f>
        <v> </v>
      </c>
    </row>
    <row r="919" spans="1:14">
      <c r="A919" s="2"/>
      <c r="B919" s="3"/>
      <c r="C919" s="3"/>
      <c r="D919" s="3"/>
      <c r="E919" s="3"/>
      <c r="F919" s="3"/>
      <c r="G919" s="3"/>
      <c r="H919" s="4"/>
      <c r="I919" s="5"/>
      <c r="J919" s="6"/>
      <c r="K919" s="3"/>
      <c r="L919" s="6"/>
      <c r="M919" s="6" t="str">
        <f>IF(OR(K919="",K919="Pending"),"",L919-J919)</f>
        <v> </v>
      </c>
      <c r="N919" s="6" t="str">
        <f>IF(M919="","",'Summary'!$B$4+SUM($M$2:M919))</f>
        <v> </v>
      </c>
    </row>
    <row r="920" spans="1:14">
      <c r="A920" s="2"/>
      <c r="B920" s="3"/>
      <c r="C920" s="3"/>
      <c r="D920" s="3"/>
      <c r="E920" s="3"/>
      <c r="F920" s="3"/>
      <c r="G920" s="3"/>
      <c r="H920" s="4"/>
      <c r="I920" s="5"/>
      <c r="J920" s="6"/>
      <c r="K920" s="3"/>
      <c r="L920" s="6"/>
      <c r="M920" s="6" t="str">
        <f>IF(OR(K920="",K920="Pending"),"",L920-J920)</f>
        <v> </v>
      </c>
      <c r="N920" s="6" t="str">
        <f>IF(M920="","",'Summary'!$B$4+SUM($M$2:M920))</f>
        <v> </v>
      </c>
    </row>
    <row r="921" spans="1:14">
      <c r="A921" s="2"/>
      <c r="B921" s="3"/>
      <c r="C921" s="3"/>
      <c r="D921" s="3"/>
      <c r="E921" s="3"/>
      <c r="F921" s="3"/>
      <c r="G921" s="3"/>
      <c r="H921" s="4"/>
      <c r="I921" s="5"/>
      <c r="J921" s="6"/>
      <c r="K921" s="3"/>
      <c r="L921" s="6"/>
      <c r="M921" s="6" t="str">
        <f>IF(OR(K921="",K921="Pending"),"",L921-J921)</f>
        <v> </v>
      </c>
      <c r="N921" s="6" t="str">
        <f>IF(M921="","",'Summary'!$B$4+SUM($M$2:M921))</f>
        <v> </v>
      </c>
    </row>
    <row r="922" spans="1:14">
      <c r="A922" s="2"/>
      <c r="B922" s="3"/>
      <c r="C922" s="3"/>
      <c r="D922" s="3"/>
      <c r="E922" s="3"/>
      <c r="F922" s="3"/>
      <c r="G922" s="3"/>
      <c r="H922" s="4"/>
      <c r="I922" s="5"/>
      <c r="J922" s="6"/>
      <c r="K922" s="3"/>
      <c r="L922" s="6"/>
      <c r="M922" s="6" t="str">
        <f>IF(OR(K922="",K922="Pending"),"",L922-J922)</f>
        <v> </v>
      </c>
      <c r="N922" s="6" t="str">
        <f>IF(M922="","",'Summary'!$B$4+SUM($M$2:M922))</f>
        <v> </v>
      </c>
    </row>
    <row r="923" spans="1:14">
      <c r="A923" s="2"/>
      <c r="B923" s="3"/>
      <c r="C923" s="3"/>
      <c r="D923" s="3"/>
      <c r="E923" s="3"/>
      <c r="F923" s="3"/>
      <c r="G923" s="3"/>
      <c r="H923" s="4"/>
      <c r="I923" s="5"/>
      <c r="J923" s="6"/>
      <c r="K923" s="3"/>
      <c r="L923" s="6"/>
      <c r="M923" s="6" t="str">
        <f>IF(OR(K923="",K923="Pending"),"",L923-J923)</f>
        <v> </v>
      </c>
      <c r="N923" s="6" t="str">
        <f>IF(M923="","",'Summary'!$B$4+SUM($M$2:M923))</f>
        <v> </v>
      </c>
    </row>
    <row r="924" spans="1:14">
      <c r="A924" s="2"/>
      <c r="B924" s="3"/>
      <c r="C924" s="3"/>
      <c r="D924" s="3"/>
      <c r="E924" s="3"/>
      <c r="F924" s="3"/>
      <c r="G924" s="3"/>
      <c r="H924" s="4"/>
      <c r="I924" s="5"/>
      <c r="J924" s="6"/>
      <c r="K924" s="3"/>
      <c r="L924" s="6"/>
      <c r="M924" s="6" t="str">
        <f>IF(OR(K924="",K924="Pending"),"",L924-J924)</f>
        <v> </v>
      </c>
      <c r="N924" s="6" t="str">
        <f>IF(M924="","",'Summary'!$B$4+SUM($M$2:M924))</f>
        <v> </v>
      </c>
    </row>
    <row r="925" spans="1:14">
      <c r="A925" s="2"/>
      <c r="B925" s="3"/>
      <c r="C925" s="3"/>
      <c r="D925" s="3"/>
      <c r="E925" s="3"/>
      <c r="F925" s="3"/>
      <c r="G925" s="3"/>
      <c r="H925" s="4"/>
      <c r="I925" s="5"/>
      <c r="J925" s="6"/>
      <c r="K925" s="3"/>
      <c r="L925" s="6"/>
      <c r="M925" s="6" t="str">
        <f>IF(OR(K925="",K925="Pending"),"",L925-J925)</f>
        <v> </v>
      </c>
      <c r="N925" s="6" t="str">
        <f>IF(M925="","",'Summary'!$B$4+SUM($M$2:M925))</f>
        <v> </v>
      </c>
    </row>
    <row r="926" spans="1:14">
      <c r="A926" s="2"/>
      <c r="B926" s="3"/>
      <c r="C926" s="3"/>
      <c r="D926" s="3"/>
      <c r="E926" s="3"/>
      <c r="F926" s="3"/>
      <c r="G926" s="3"/>
      <c r="H926" s="4"/>
      <c r="I926" s="5"/>
      <c r="J926" s="6"/>
      <c r="K926" s="3"/>
      <c r="L926" s="6"/>
      <c r="M926" s="6" t="str">
        <f>IF(OR(K926="",K926="Pending"),"",L926-J926)</f>
        <v> </v>
      </c>
      <c r="N926" s="6" t="str">
        <f>IF(M926="","",'Summary'!$B$4+SUM($M$2:M926))</f>
        <v> </v>
      </c>
    </row>
    <row r="927" spans="1:14">
      <c r="A927" s="2"/>
      <c r="B927" s="3"/>
      <c r="C927" s="3"/>
      <c r="D927" s="3"/>
      <c r="E927" s="3"/>
      <c r="F927" s="3"/>
      <c r="G927" s="3"/>
      <c r="H927" s="4"/>
      <c r="I927" s="5"/>
      <c r="J927" s="6"/>
      <c r="K927" s="3"/>
      <c r="L927" s="6"/>
      <c r="M927" s="6" t="str">
        <f>IF(OR(K927="",K927="Pending"),"",L927-J927)</f>
        <v> </v>
      </c>
      <c r="N927" s="6" t="str">
        <f>IF(M927="","",'Summary'!$B$4+SUM($M$2:M927))</f>
        <v> </v>
      </c>
    </row>
    <row r="928" spans="1:14">
      <c r="A928" s="2"/>
      <c r="B928" s="3"/>
      <c r="C928" s="3"/>
      <c r="D928" s="3"/>
      <c r="E928" s="3"/>
      <c r="F928" s="3"/>
      <c r="G928" s="3"/>
      <c r="H928" s="4"/>
      <c r="I928" s="5"/>
      <c r="J928" s="6"/>
      <c r="K928" s="3"/>
      <c r="L928" s="6"/>
      <c r="M928" s="6" t="str">
        <f>IF(OR(K928="",K928="Pending"),"",L928-J928)</f>
        <v> </v>
      </c>
      <c r="N928" s="6" t="str">
        <f>IF(M928="","",'Summary'!$B$4+SUM($M$2:M928))</f>
        <v> </v>
      </c>
    </row>
    <row r="929" spans="1:14">
      <c r="A929" s="2"/>
      <c r="B929" s="3"/>
      <c r="C929" s="3"/>
      <c r="D929" s="3"/>
      <c r="E929" s="3"/>
      <c r="F929" s="3"/>
      <c r="G929" s="3"/>
      <c r="H929" s="4"/>
      <c r="I929" s="5"/>
      <c r="J929" s="6"/>
      <c r="K929" s="3"/>
      <c r="L929" s="6"/>
      <c r="M929" s="6" t="str">
        <f>IF(OR(K929="",K929="Pending"),"",L929-J929)</f>
        <v> </v>
      </c>
      <c r="N929" s="6" t="str">
        <f>IF(M929="","",'Summary'!$B$4+SUM($M$2:M929))</f>
        <v> </v>
      </c>
    </row>
    <row r="930" spans="1:14">
      <c r="A930" s="2"/>
      <c r="B930" s="3"/>
      <c r="C930" s="3"/>
      <c r="D930" s="3"/>
      <c r="E930" s="3"/>
      <c r="F930" s="3"/>
      <c r="G930" s="3"/>
      <c r="H930" s="4"/>
      <c r="I930" s="5"/>
      <c r="J930" s="6"/>
      <c r="K930" s="3"/>
      <c r="L930" s="6"/>
      <c r="M930" s="6" t="str">
        <f>IF(OR(K930="",K930="Pending"),"",L930-J930)</f>
        <v> </v>
      </c>
      <c r="N930" s="6" t="str">
        <f>IF(M930="","",'Summary'!$B$4+SUM($M$2:M930))</f>
        <v> </v>
      </c>
    </row>
    <row r="931" spans="1:14">
      <c r="A931" s="2"/>
      <c r="B931" s="3"/>
      <c r="C931" s="3"/>
      <c r="D931" s="3"/>
      <c r="E931" s="3"/>
      <c r="F931" s="3"/>
      <c r="G931" s="3"/>
      <c r="H931" s="4"/>
      <c r="I931" s="5"/>
      <c r="J931" s="6"/>
      <c r="K931" s="3"/>
      <c r="L931" s="6"/>
      <c r="M931" s="6" t="str">
        <f>IF(OR(K931="",K931="Pending"),"",L931-J931)</f>
        <v> </v>
      </c>
      <c r="N931" s="6" t="str">
        <f>IF(M931="","",'Summary'!$B$4+SUM($M$2:M931))</f>
        <v> </v>
      </c>
    </row>
    <row r="932" spans="1:14">
      <c r="A932" s="2"/>
      <c r="B932" s="3"/>
      <c r="C932" s="3"/>
      <c r="D932" s="3"/>
      <c r="E932" s="3"/>
      <c r="F932" s="3"/>
      <c r="G932" s="3"/>
      <c r="H932" s="4"/>
      <c r="I932" s="5"/>
      <c r="J932" s="6"/>
      <c r="K932" s="3"/>
      <c r="L932" s="6"/>
      <c r="M932" s="6" t="str">
        <f>IF(OR(K932="",K932="Pending"),"",L932-J932)</f>
        <v> </v>
      </c>
      <c r="N932" s="6" t="str">
        <f>IF(M932="","",'Summary'!$B$4+SUM($M$2:M932))</f>
        <v> </v>
      </c>
    </row>
    <row r="933" spans="1:14">
      <c r="A933" s="2"/>
      <c r="B933" s="3"/>
      <c r="C933" s="3"/>
      <c r="D933" s="3"/>
      <c r="E933" s="3"/>
      <c r="F933" s="3"/>
      <c r="G933" s="3"/>
      <c r="H933" s="4"/>
      <c r="I933" s="5"/>
      <c r="J933" s="6"/>
      <c r="K933" s="3"/>
      <c r="L933" s="6"/>
      <c r="M933" s="6" t="str">
        <f>IF(OR(K933="",K933="Pending"),"",L933-J933)</f>
        <v> </v>
      </c>
      <c r="N933" s="6" t="str">
        <f>IF(M933="","",'Summary'!$B$4+SUM($M$2:M933))</f>
        <v> </v>
      </c>
    </row>
    <row r="934" spans="1:14">
      <c r="A934" s="2"/>
      <c r="B934" s="3"/>
      <c r="C934" s="3"/>
      <c r="D934" s="3"/>
      <c r="E934" s="3"/>
      <c r="F934" s="3"/>
      <c r="G934" s="3"/>
      <c r="H934" s="4"/>
      <c r="I934" s="5"/>
      <c r="J934" s="6"/>
      <c r="K934" s="3"/>
      <c r="L934" s="6"/>
      <c r="M934" s="6" t="str">
        <f>IF(OR(K934="",K934="Pending"),"",L934-J934)</f>
        <v> </v>
      </c>
      <c r="N934" s="6" t="str">
        <f>IF(M934="","",'Summary'!$B$4+SUM($M$2:M934))</f>
        <v> </v>
      </c>
    </row>
    <row r="935" spans="1:14">
      <c r="A935" s="2"/>
      <c r="B935" s="3"/>
      <c r="C935" s="3"/>
      <c r="D935" s="3"/>
      <c r="E935" s="3"/>
      <c r="F935" s="3"/>
      <c r="G935" s="3"/>
      <c r="H935" s="4"/>
      <c r="I935" s="5"/>
      <c r="J935" s="6"/>
      <c r="K935" s="3"/>
      <c r="L935" s="6"/>
      <c r="M935" s="6" t="str">
        <f>IF(OR(K935="",K935="Pending"),"",L935-J935)</f>
        <v> </v>
      </c>
      <c r="N935" s="6" t="str">
        <f>IF(M935="","",'Summary'!$B$4+SUM($M$2:M935))</f>
        <v> </v>
      </c>
    </row>
    <row r="936" spans="1:14">
      <c r="A936" s="2"/>
      <c r="B936" s="3"/>
      <c r="C936" s="3"/>
      <c r="D936" s="3"/>
      <c r="E936" s="3"/>
      <c r="F936" s="3"/>
      <c r="G936" s="3"/>
      <c r="H936" s="4"/>
      <c r="I936" s="5"/>
      <c r="J936" s="6"/>
      <c r="K936" s="3"/>
      <c r="L936" s="6"/>
      <c r="M936" s="6" t="str">
        <f>IF(OR(K936="",K936="Pending"),"",L936-J936)</f>
        <v> </v>
      </c>
      <c r="N936" s="6" t="str">
        <f>IF(M936="","",'Summary'!$B$4+SUM($M$2:M936))</f>
        <v> </v>
      </c>
    </row>
    <row r="937" spans="1:14">
      <c r="A937" s="2"/>
      <c r="B937" s="3"/>
      <c r="C937" s="3"/>
      <c r="D937" s="3"/>
      <c r="E937" s="3"/>
      <c r="F937" s="3"/>
      <c r="G937" s="3"/>
      <c r="H937" s="4"/>
      <c r="I937" s="5"/>
      <c r="J937" s="6"/>
      <c r="K937" s="3"/>
      <c r="L937" s="6"/>
      <c r="M937" s="6" t="str">
        <f>IF(OR(K937="",K937="Pending"),"",L937-J937)</f>
        <v> </v>
      </c>
      <c r="N937" s="6" t="str">
        <f>IF(M937="","",'Summary'!$B$4+SUM($M$2:M937))</f>
        <v> </v>
      </c>
    </row>
    <row r="938" spans="1:14">
      <c r="A938" s="2"/>
      <c r="B938" s="3"/>
      <c r="C938" s="3"/>
      <c r="D938" s="3"/>
      <c r="E938" s="3"/>
      <c r="F938" s="3"/>
      <c r="G938" s="3"/>
      <c r="H938" s="4"/>
      <c r="I938" s="5"/>
      <c r="J938" s="6"/>
      <c r="K938" s="3"/>
      <c r="L938" s="6"/>
      <c r="M938" s="6" t="str">
        <f>IF(OR(K938="",K938="Pending"),"",L938-J938)</f>
        <v> </v>
      </c>
      <c r="N938" s="6" t="str">
        <f>IF(M938="","",'Summary'!$B$4+SUM($M$2:M938))</f>
        <v> </v>
      </c>
    </row>
    <row r="939" spans="1:14">
      <c r="A939" s="2"/>
      <c r="B939" s="3"/>
      <c r="C939" s="3"/>
      <c r="D939" s="3"/>
      <c r="E939" s="3"/>
      <c r="F939" s="3"/>
      <c r="G939" s="3"/>
      <c r="H939" s="4"/>
      <c r="I939" s="5"/>
      <c r="J939" s="6"/>
      <c r="K939" s="3"/>
      <c r="L939" s="6"/>
      <c r="M939" s="6" t="str">
        <f>IF(OR(K939="",K939="Pending"),"",L939-J939)</f>
        <v> </v>
      </c>
      <c r="N939" s="6" t="str">
        <f>IF(M939="","",'Summary'!$B$4+SUM($M$2:M939))</f>
        <v> </v>
      </c>
    </row>
    <row r="940" spans="1:14">
      <c r="A940" s="2"/>
      <c r="B940" s="3"/>
      <c r="C940" s="3"/>
      <c r="D940" s="3"/>
      <c r="E940" s="3"/>
      <c r="F940" s="3"/>
      <c r="G940" s="3"/>
      <c r="H940" s="4"/>
      <c r="I940" s="5"/>
      <c r="J940" s="6"/>
      <c r="K940" s="3"/>
      <c r="L940" s="6"/>
      <c r="M940" s="6" t="str">
        <f>IF(OR(K940="",K940="Pending"),"",L940-J940)</f>
        <v> </v>
      </c>
      <c r="N940" s="6" t="str">
        <f>IF(M940="","",'Summary'!$B$4+SUM($M$2:M940))</f>
        <v> </v>
      </c>
    </row>
    <row r="941" spans="1:14">
      <c r="A941" s="2"/>
      <c r="B941" s="3"/>
      <c r="C941" s="3"/>
      <c r="D941" s="3"/>
      <c r="E941" s="3"/>
      <c r="F941" s="3"/>
      <c r="G941" s="3"/>
      <c r="H941" s="4"/>
      <c r="I941" s="5"/>
      <c r="J941" s="6"/>
      <c r="K941" s="3"/>
      <c r="L941" s="6"/>
      <c r="M941" s="6" t="str">
        <f>IF(OR(K941="",K941="Pending"),"",L941-J941)</f>
        <v> </v>
      </c>
      <c r="N941" s="6" t="str">
        <f>IF(M941="","",'Summary'!$B$4+SUM($M$2:M941))</f>
        <v> </v>
      </c>
    </row>
    <row r="942" spans="1:14">
      <c r="A942" s="2"/>
      <c r="B942" s="3"/>
      <c r="C942" s="3"/>
      <c r="D942" s="3"/>
      <c r="E942" s="3"/>
      <c r="F942" s="3"/>
      <c r="G942" s="3"/>
      <c r="H942" s="4"/>
      <c r="I942" s="5"/>
      <c r="J942" s="6"/>
      <c r="K942" s="3"/>
      <c r="L942" s="6"/>
      <c r="M942" s="6" t="str">
        <f>IF(OR(K942="",K942="Pending"),"",L942-J942)</f>
        <v> </v>
      </c>
      <c r="N942" s="6" t="str">
        <f>IF(M942="","",'Summary'!$B$4+SUM($M$2:M942))</f>
        <v> </v>
      </c>
    </row>
    <row r="943" spans="1:14">
      <c r="A943" s="2"/>
      <c r="B943" s="3"/>
      <c r="C943" s="3"/>
      <c r="D943" s="3"/>
      <c r="E943" s="3"/>
      <c r="F943" s="3"/>
      <c r="G943" s="3"/>
      <c r="H943" s="4"/>
      <c r="I943" s="5"/>
      <c r="J943" s="6"/>
      <c r="K943" s="3"/>
      <c r="L943" s="6"/>
      <c r="M943" s="6" t="str">
        <f>IF(OR(K943="",K943="Pending"),"",L943-J943)</f>
        <v> </v>
      </c>
      <c r="N943" s="6" t="str">
        <f>IF(M943="","",'Summary'!$B$4+SUM($M$2:M943))</f>
        <v> </v>
      </c>
    </row>
    <row r="944" spans="1:14">
      <c r="A944" s="2"/>
      <c r="B944" s="3"/>
      <c r="C944" s="3"/>
      <c r="D944" s="3"/>
      <c r="E944" s="3"/>
      <c r="F944" s="3"/>
      <c r="G944" s="3"/>
      <c r="H944" s="4"/>
      <c r="I944" s="5"/>
      <c r="J944" s="6"/>
      <c r="K944" s="3"/>
      <c r="L944" s="6"/>
      <c r="M944" s="6" t="str">
        <f>IF(OR(K944="",K944="Pending"),"",L944-J944)</f>
        <v> </v>
      </c>
      <c r="N944" s="6" t="str">
        <f>IF(M944="","",'Summary'!$B$4+SUM($M$2:M944))</f>
        <v> </v>
      </c>
    </row>
    <row r="945" spans="1:14">
      <c r="A945" s="2"/>
      <c r="B945" s="3"/>
      <c r="C945" s="3"/>
      <c r="D945" s="3"/>
      <c r="E945" s="3"/>
      <c r="F945" s="3"/>
      <c r="G945" s="3"/>
      <c r="H945" s="4"/>
      <c r="I945" s="5"/>
      <c r="J945" s="6"/>
      <c r="K945" s="3"/>
      <c r="L945" s="6"/>
      <c r="M945" s="6" t="str">
        <f>IF(OR(K945="",K945="Pending"),"",L945-J945)</f>
        <v> </v>
      </c>
      <c r="N945" s="6" t="str">
        <f>IF(M945="","",'Summary'!$B$4+SUM($M$2:M945))</f>
        <v> </v>
      </c>
    </row>
    <row r="946" spans="1:14">
      <c r="A946" s="2"/>
      <c r="B946" s="3"/>
      <c r="C946" s="3"/>
      <c r="D946" s="3"/>
      <c r="E946" s="3"/>
      <c r="F946" s="3"/>
      <c r="G946" s="3"/>
      <c r="H946" s="4"/>
      <c r="I946" s="5"/>
      <c r="J946" s="6"/>
      <c r="K946" s="3"/>
      <c r="L946" s="6"/>
      <c r="M946" s="6" t="str">
        <f>IF(OR(K946="",K946="Pending"),"",L946-J946)</f>
        <v> </v>
      </c>
      <c r="N946" s="6" t="str">
        <f>IF(M946="","",'Summary'!$B$4+SUM($M$2:M946))</f>
        <v> </v>
      </c>
    </row>
    <row r="947" spans="1:14">
      <c r="A947" s="2"/>
      <c r="B947" s="3"/>
      <c r="C947" s="3"/>
      <c r="D947" s="3"/>
      <c r="E947" s="3"/>
      <c r="F947" s="3"/>
      <c r="G947" s="3"/>
      <c r="H947" s="4"/>
      <c r="I947" s="5"/>
      <c r="J947" s="6"/>
      <c r="K947" s="3"/>
      <c r="L947" s="6"/>
      <c r="M947" s="6" t="str">
        <f>IF(OR(K947="",K947="Pending"),"",L947-J947)</f>
        <v> </v>
      </c>
      <c r="N947" s="6" t="str">
        <f>IF(M947="","",'Summary'!$B$4+SUM($M$2:M947))</f>
        <v> </v>
      </c>
    </row>
    <row r="948" spans="1:14">
      <c r="A948" s="2"/>
      <c r="B948" s="3"/>
      <c r="C948" s="3"/>
      <c r="D948" s="3"/>
      <c r="E948" s="3"/>
      <c r="F948" s="3"/>
      <c r="G948" s="3"/>
      <c r="H948" s="4"/>
      <c r="I948" s="5"/>
      <c r="J948" s="6"/>
      <c r="K948" s="3"/>
      <c r="L948" s="6"/>
      <c r="M948" s="6" t="str">
        <f>IF(OR(K948="",K948="Pending"),"",L948-J948)</f>
        <v> </v>
      </c>
      <c r="N948" s="6" t="str">
        <f>IF(M948="","",'Summary'!$B$4+SUM($M$2:M948))</f>
        <v> </v>
      </c>
    </row>
    <row r="949" spans="1:14">
      <c r="A949" s="2"/>
      <c r="B949" s="3"/>
      <c r="C949" s="3"/>
      <c r="D949" s="3"/>
      <c r="E949" s="3"/>
      <c r="F949" s="3"/>
      <c r="G949" s="3"/>
      <c r="H949" s="4"/>
      <c r="I949" s="5"/>
      <c r="J949" s="6"/>
      <c r="K949" s="3"/>
      <c r="L949" s="6"/>
      <c r="M949" s="6" t="str">
        <f>IF(OR(K949="",K949="Pending"),"",L949-J949)</f>
        <v> </v>
      </c>
      <c r="N949" s="6" t="str">
        <f>IF(M949="","",'Summary'!$B$4+SUM($M$2:M949))</f>
        <v> </v>
      </c>
    </row>
    <row r="950" spans="1:14">
      <c r="A950" s="2"/>
      <c r="B950" s="3"/>
      <c r="C950" s="3"/>
      <c r="D950" s="3"/>
      <c r="E950" s="3"/>
      <c r="F950" s="3"/>
      <c r="G950" s="3"/>
      <c r="H950" s="4"/>
      <c r="I950" s="5"/>
      <c r="J950" s="6"/>
      <c r="K950" s="3"/>
      <c r="L950" s="6"/>
      <c r="M950" s="6" t="str">
        <f>IF(OR(K950="",K950="Pending"),"",L950-J950)</f>
        <v> </v>
      </c>
      <c r="N950" s="6" t="str">
        <f>IF(M950="","",'Summary'!$B$4+SUM($M$2:M950))</f>
        <v> </v>
      </c>
    </row>
    <row r="951" spans="1:14">
      <c r="A951" s="2"/>
      <c r="B951" s="3"/>
      <c r="C951" s="3"/>
      <c r="D951" s="3"/>
      <c r="E951" s="3"/>
      <c r="F951" s="3"/>
      <c r="G951" s="3"/>
      <c r="H951" s="4"/>
      <c r="I951" s="5"/>
      <c r="J951" s="6"/>
      <c r="K951" s="3"/>
      <c r="L951" s="6"/>
      <c r="M951" s="6" t="str">
        <f>IF(OR(K951="",K951="Pending"),"",L951-J951)</f>
        <v> </v>
      </c>
      <c r="N951" s="6" t="str">
        <f>IF(M951="","",'Summary'!$B$4+SUM($M$2:M951))</f>
        <v> </v>
      </c>
    </row>
    <row r="952" spans="1:14">
      <c r="A952" s="2"/>
      <c r="B952" s="3"/>
      <c r="C952" s="3"/>
      <c r="D952" s="3"/>
      <c r="E952" s="3"/>
      <c r="F952" s="3"/>
      <c r="G952" s="3"/>
      <c r="H952" s="4"/>
      <c r="I952" s="5"/>
      <c r="J952" s="6"/>
      <c r="K952" s="3"/>
      <c r="L952" s="6"/>
      <c r="M952" s="6" t="str">
        <f>IF(OR(K952="",K952="Pending"),"",L952-J952)</f>
        <v> </v>
      </c>
      <c r="N952" s="6" t="str">
        <f>IF(M952="","",'Summary'!$B$4+SUM($M$2:M952))</f>
        <v> </v>
      </c>
    </row>
    <row r="953" spans="1:14">
      <c r="A953" s="2"/>
      <c r="B953" s="3"/>
      <c r="C953" s="3"/>
      <c r="D953" s="3"/>
      <c r="E953" s="3"/>
      <c r="F953" s="3"/>
      <c r="G953" s="3"/>
      <c r="H953" s="4"/>
      <c r="I953" s="5"/>
      <c r="J953" s="6"/>
      <c r="K953" s="3"/>
      <c r="L953" s="6"/>
      <c r="M953" s="6" t="str">
        <f>IF(OR(K953="",K953="Pending"),"",L953-J953)</f>
        <v> </v>
      </c>
      <c r="N953" s="6" t="str">
        <f>IF(M953="","",'Summary'!$B$4+SUM($M$2:M953))</f>
        <v> </v>
      </c>
    </row>
    <row r="954" spans="1:14">
      <c r="A954" s="2"/>
      <c r="B954" s="3"/>
      <c r="C954" s="3"/>
      <c r="D954" s="3"/>
      <c r="E954" s="3"/>
      <c r="F954" s="3"/>
      <c r="G954" s="3"/>
      <c r="H954" s="4"/>
      <c r="I954" s="5"/>
      <c r="J954" s="6"/>
      <c r="K954" s="3"/>
      <c r="L954" s="6"/>
      <c r="M954" s="6" t="str">
        <f>IF(OR(K954="",K954="Pending"),"",L954-J954)</f>
        <v> </v>
      </c>
      <c r="N954" s="6" t="str">
        <f>IF(M954="","",'Summary'!$B$4+SUM($M$2:M954))</f>
        <v> </v>
      </c>
    </row>
    <row r="955" spans="1:14">
      <c r="A955" s="2"/>
      <c r="B955" s="3"/>
      <c r="C955" s="3"/>
      <c r="D955" s="3"/>
      <c r="E955" s="3"/>
      <c r="F955" s="3"/>
      <c r="G955" s="3"/>
      <c r="H955" s="4"/>
      <c r="I955" s="5"/>
      <c r="J955" s="6"/>
      <c r="K955" s="3"/>
      <c r="L955" s="6"/>
      <c r="M955" s="6" t="str">
        <f>IF(OR(K955="",K955="Pending"),"",L955-J955)</f>
        <v> </v>
      </c>
      <c r="N955" s="6" t="str">
        <f>IF(M955="","",'Summary'!$B$4+SUM($M$2:M955))</f>
        <v> </v>
      </c>
    </row>
    <row r="956" spans="1:14">
      <c r="A956" s="2"/>
      <c r="B956" s="3"/>
      <c r="C956" s="3"/>
      <c r="D956" s="3"/>
      <c r="E956" s="3"/>
      <c r="F956" s="3"/>
      <c r="G956" s="3"/>
      <c r="H956" s="4"/>
      <c r="I956" s="5"/>
      <c r="J956" s="6"/>
      <c r="K956" s="3"/>
      <c r="L956" s="6"/>
      <c r="M956" s="6" t="str">
        <f>IF(OR(K956="",K956="Pending"),"",L956-J956)</f>
        <v> </v>
      </c>
      <c r="N956" s="6" t="str">
        <f>IF(M956="","",'Summary'!$B$4+SUM($M$2:M956))</f>
        <v> </v>
      </c>
    </row>
    <row r="957" spans="1:14">
      <c r="A957" s="2"/>
      <c r="B957" s="3"/>
      <c r="C957" s="3"/>
      <c r="D957" s="3"/>
      <c r="E957" s="3"/>
      <c r="F957" s="3"/>
      <c r="G957" s="3"/>
      <c r="H957" s="4"/>
      <c r="I957" s="5"/>
      <c r="J957" s="6"/>
      <c r="K957" s="3"/>
      <c r="L957" s="6"/>
      <c r="M957" s="6" t="str">
        <f>IF(OR(K957="",K957="Pending"),"",L957-J957)</f>
        <v> </v>
      </c>
      <c r="N957" s="6" t="str">
        <f>IF(M957="","",'Summary'!$B$4+SUM($M$2:M957))</f>
        <v> </v>
      </c>
    </row>
    <row r="958" spans="1:14">
      <c r="A958" s="2"/>
      <c r="B958" s="3"/>
      <c r="C958" s="3"/>
      <c r="D958" s="3"/>
      <c r="E958" s="3"/>
      <c r="F958" s="3"/>
      <c r="G958" s="3"/>
      <c r="H958" s="4"/>
      <c r="I958" s="5"/>
      <c r="J958" s="6"/>
      <c r="K958" s="3"/>
      <c r="L958" s="6"/>
      <c r="M958" s="6" t="str">
        <f>IF(OR(K958="",K958="Pending"),"",L958-J958)</f>
        <v> </v>
      </c>
      <c r="N958" s="6" t="str">
        <f>IF(M958="","",'Summary'!$B$4+SUM($M$2:M958))</f>
        <v> </v>
      </c>
    </row>
    <row r="959" spans="1:14">
      <c r="A959" s="2"/>
      <c r="B959" s="3"/>
      <c r="C959" s="3"/>
      <c r="D959" s="3"/>
      <c r="E959" s="3"/>
      <c r="F959" s="3"/>
      <c r="G959" s="3"/>
      <c r="H959" s="4"/>
      <c r="I959" s="5"/>
      <c r="J959" s="6"/>
      <c r="K959" s="3"/>
      <c r="L959" s="6"/>
      <c r="M959" s="6" t="str">
        <f>IF(OR(K959="",K959="Pending"),"",L959-J959)</f>
        <v> </v>
      </c>
      <c r="N959" s="6" t="str">
        <f>IF(M959="","",'Summary'!$B$4+SUM($M$2:M959))</f>
        <v> </v>
      </c>
    </row>
    <row r="960" spans="1:14">
      <c r="A960" s="2"/>
      <c r="B960" s="3"/>
      <c r="C960" s="3"/>
      <c r="D960" s="3"/>
      <c r="E960" s="3"/>
      <c r="F960" s="3"/>
      <c r="G960" s="3"/>
      <c r="H960" s="4"/>
      <c r="I960" s="5"/>
      <c r="J960" s="6"/>
      <c r="K960" s="3"/>
      <c r="L960" s="6"/>
      <c r="M960" s="6" t="str">
        <f>IF(OR(K960="",K960="Pending"),"",L960-J960)</f>
        <v> </v>
      </c>
      <c r="N960" s="6" t="str">
        <f>IF(M960="","",'Summary'!$B$4+SUM($M$2:M960))</f>
        <v> </v>
      </c>
    </row>
    <row r="961" spans="1:14">
      <c r="A961" s="2"/>
      <c r="B961" s="3"/>
      <c r="C961" s="3"/>
      <c r="D961" s="3"/>
      <c r="E961" s="3"/>
      <c r="F961" s="3"/>
      <c r="G961" s="3"/>
      <c r="H961" s="4"/>
      <c r="I961" s="5"/>
      <c r="J961" s="6"/>
      <c r="K961" s="3"/>
      <c r="L961" s="6"/>
      <c r="M961" s="6" t="str">
        <f>IF(OR(K961="",K961="Pending"),"",L961-J961)</f>
        <v> </v>
      </c>
      <c r="N961" s="6" t="str">
        <f>IF(M961="","",'Summary'!$B$4+SUM($M$2:M961))</f>
        <v> </v>
      </c>
    </row>
    <row r="962" spans="1:14">
      <c r="A962" s="2"/>
      <c r="B962" s="3"/>
      <c r="C962" s="3"/>
      <c r="D962" s="3"/>
      <c r="E962" s="3"/>
      <c r="F962" s="3"/>
      <c r="G962" s="3"/>
      <c r="H962" s="4"/>
      <c r="I962" s="5"/>
      <c r="J962" s="6"/>
      <c r="K962" s="3"/>
      <c r="L962" s="6"/>
      <c r="M962" s="6" t="str">
        <f>IF(OR(K962="",K962="Pending"),"",L962-J962)</f>
        <v> </v>
      </c>
      <c r="N962" s="6" t="str">
        <f>IF(M962="","",'Summary'!$B$4+SUM($M$2:M962))</f>
        <v> </v>
      </c>
    </row>
    <row r="963" spans="1:14">
      <c r="A963" s="2"/>
      <c r="B963" s="3"/>
      <c r="C963" s="3"/>
      <c r="D963" s="3"/>
      <c r="E963" s="3"/>
      <c r="F963" s="3"/>
      <c r="G963" s="3"/>
      <c r="H963" s="4"/>
      <c r="I963" s="5"/>
      <c r="J963" s="6"/>
      <c r="K963" s="3"/>
      <c r="L963" s="6"/>
      <c r="M963" s="6" t="str">
        <f>IF(OR(K963="",K963="Pending"),"",L963-J963)</f>
        <v> </v>
      </c>
      <c r="N963" s="6" t="str">
        <f>IF(M963="","",'Summary'!$B$4+SUM($M$2:M963))</f>
        <v> </v>
      </c>
    </row>
    <row r="964" spans="1:14">
      <c r="A964" s="2"/>
      <c r="B964" s="3"/>
      <c r="C964" s="3"/>
      <c r="D964" s="3"/>
      <c r="E964" s="3"/>
      <c r="F964" s="3"/>
      <c r="G964" s="3"/>
      <c r="H964" s="4"/>
      <c r="I964" s="5"/>
      <c r="J964" s="6"/>
      <c r="K964" s="3"/>
      <c r="L964" s="6"/>
      <c r="M964" s="6" t="str">
        <f>IF(OR(K964="",K964="Pending"),"",L964-J964)</f>
        <v> </v>
      </c>
      <c r="N964" s="6" t="str">
        <f>IF(M964="","",'Summary'!$B$4+SUM($M$2:M964))</f>
        <v> </v>
      </c>
    </row>
    <row r="965" spans="1:14">
      <c r="A965" s="2"/>
      <c r="B965" s="3"/>
      <c r="C965" s="3"/>
      <c r="D965" s="3"/>
      <c r="E965" s="3"/>
      <c r="F965" s="3"/>
      <c r="G965" s="3"/>
      <c r="H965" s="4"/>
      <c r="I965" s="5"/>
      <c r="J965" s="6"/>
      <c r="K965" s="3"/>
      <c r="L965" s="6"/>
      <c r="M965" s="6" t="str">
        <f>IF(OR(K965="",K965="Pending"),"",L965-J965)</f>
        <v> </v>
      </c>
      <c r="N965" s="6" t="str">
        <f>IF(M965="","",'Summary'!$B$4+SUM($M$2:M965))</f>
        <v> </v>
      </c>
    </row>
    <row r="966" spans="1:14">
      <c r="A966" s="2"/>
      <c r="B966" s="3"/>
      <c r="C966" s="3"/>
      <c r="D966" s="3"/>
      <c r="E966" s="3"/>
      <c r="F966" s="3"/>
      <c r="G966" s="3"/>
      <c r="H966" s="4"/>
      <c r="I966" s="5"/>
      <c r="J966" s="6"/>
      <c r="K966" s="3"/>
      <c r="L966" s="6"/>
      <c r="M966" s="6" t="str">
        <f>IF(OR(K966="",K966="Pending"),"",L966-J966)</f>
        <v> </v>
      </c>
      <c r="N966" s="6" t="str">
        <f>IF(M966="","",'Summary'!$B$4+SUM($M$2:M966))</f>
        <v> </v>
      </c>
    </row>
    <row r="967" spans="1:14">
      <c r="A967" s="2"/>
      <c r="B967" s="3"/>
      <c r="C967" s="3"/>
      <c r="D967" s="3"/>
      <c r="E967" s="3"/>
      <c r="F967" s="3"/>
      <c r="G967" s="3"/>
      <c r="H967" s="4"/>
      <c r="I967" s="5"/>
      <c r="J967" s="6"/>
      <c r="K967" s="3"/>
      <c r="L967" s="6"/>
      <c r="M967" s="6" t="str">
        <f>IF(OR(K967="",K967="Pending"),"",L967-J967)</f>
        <v> </v>
      </c>
      <c r="N967" s="6" t="str">
        <f>IF(M967="","",'Summary'!$B$4+SUM($M$2:M967))</f>
        <v> </v>
      </c>
    </row>
    <row r="968" spans="1:14">
      <c r="A968" s="2"/>
      <c r="B968" s="3"/>
      <c r="C968" s="3"/>
      <c r="D968" s="3"/>
      <c r="E968" s="3"/>
      <c r="F968" s="3"/>
      <c r="G968" s="3"/>
      <c r="H968" s="4"/>
      <c r="I968" s="5"/>
      <c r="J968" s="6"/>
      <c r="K968" s="3"/>
      <c r="L968" s="6"/>
      <c r="M968" s="6" t="str">
        <f>IF(OR(K968="",K968="Pending"),"",L968-J968)</f>
        <v> </v>
      </c>
      <c r="N968" s="6" t="str">
        <f>IF(M968="","",'Summary'!$B$4+SUM($M$2:M968))</f>
        <v> </v>
      </c>
    </row>
    <row r="969" spans="1:14">
      <c r="A969" s="2"/>
      <c r="B969" s="3"/>
      <c r="C969" s="3"/>
      <c r="D969" s="3"/>
      <c r="E969" s="3"/>
      <c r="F969" s="3"/>
      <c r="G969" s="3"/>
      <c r="H969" s="4"/>
      <c r="I969" s="5"/>
      <c r="J969" s="6"/>
      <c r="K969" s="3"/>
      <c r="L969" s="6"/>
      <c r="M969" s="6" t="str">
        <f>IF(OR(K969="",K969="Pending"),"",L969-J969)</f>
        <v> </v>
      </c>
      <c r="N969" s="6" t="str">
        <f>IF(M969="","",'Summary'!$B$4+SUM($M$2:M969))</f>
        <v> </v>
      </c>
    </row>
    <row r="970" spans="1:14">
      <c r="A970" s="2"/>
      <c r="B970" s="3"/>
      <c r="C970" s="3"/>
      <c r="D970" s="3"/>
      <c r="E970" s="3"/>
      <c r="F970" s="3"/>
      <c r="G970" s="3"/>
      <c r="H970" s="4"/>
      <c r="I970" s="5"/>
      <c r="J970" s="6"/>
      <c r="K970" s="3"/>
      <c r="L970" s="6"/>
      <c r="M970" s="6" t="str">
        <f>IF(OR(K970="",K970="Pending"),"",L970-J970)</f>
        <v> </v>
      </c>
      <c r="N970" s="6" t="str">
        <f>IF(M970="","",'Summary'!$B$4+SUM($M$2:M970))</f>
        <v> </v>
      </c>
    </row>
    <row r="971" spans="1:14">
      <c r="A971" s="2"/>
      <c r="B971" s="3"/>
      <c r="C971" s="3"/>
      <c r="D971" s="3"/>
      <c r="E971" s="3"/>
      <c r="F971" s="3"/>
      <c r="G971" s="3"/>
      <c r="H971" s="4"/>
      <c r="I971" s="5"/>
      <c r="J971" s="6"/>
      <c r="K971" s="3"/>
      <c r="L971" s="6"/>
      <c r="M971" s="6" t="str">
        <f>IF(OR(K971="",K971="Pending"),"",L971-J971)</f>
        <v> </v>
      </c>
      <c r="N971" s="6" t="str">
        <f>IF(M971="","",'Summary'!$B$4+SUM($M$2:M971))</f>
        <v> </v>
      </c>
    </row>
    <row r="972" spans="1:14">
      <c r="A972" s="2"/>
      <c r="B972" s="3"/>
      <c r="C972" s="3"/>
      <c r="D972" s="3"/>
      <c r="E972" s="3"/>
      <c r="F972" s="3"/>
      <c r="G972" s="3"/>
      <c r="H972" s="4"/>
      <c r="I972" s="5"/>
      <c r="J972" s="6"/>
      <c r="K972" s="3"/>
      <c r="L972" s="6"/>
      <c r="M972" s="6" t="str">
        <f>IF(OR(K972="",K972="Pending"),"",L972-J972)</f>
        <v> </v>
      </c>
      <c r="N972" s="6" t="str">
        <f>IF(M972="","",'Summary'!$B$4+SUM($M$2:M972))</f>
        <v> </v>
      </c>
    </row>
    <row r="973" spans="1:14">
      <c r="A973" s="2"/>
      <c r="B973" s="3"/>
      <c r="C973" s="3"/>
      <c r="D973" s="3"/>
      <c r="E973" s="3"/>
      <c r="F973" s="3"/>
      <c r="G973" s="3"/>
      <c r="H973" s="4"/>
      <c r="I973" s="5"/>
      <c r="J973" s="6"/>
      <c r="K973" s="3"/>
      <c r="L973" s="6"/>
      <c r="M973" s="6" t="str">
        <f>IF(OR(K973="",K973="Pending"),"",L973-J973)</f>
        <v> </v>
      </c>
      <c r="N973" s="6" t="str">
        <f>IF(M973="","",'Summary'!$B$4+SUM($M$2:M973))</f>
        <v> </v>
      </c>
    </row>
    <row r="974" spans="1:14">
      <c r="A974" s="2"/>
      <c r="B974" s="3"/>
      <c r="C974" s="3"/>
      <c r="D974" s="3"/>
      <c r="E974" s="3"/>
      <c r="F974" s="3"/>
      <c r="G974" s="3"/>
      <c r="H974" s="4"/>
      <c r="I974" s="5"/>
      <c r="J974" s="6"/>
      <c r="K974" s="3"/>
      <c r="L974" s="6"/>
      <c r="M974" s="6" t="str">
        <f>IF(OR(K974="",K974="Pending"),"",L974-J974)</f>
        <v> </v>
      </c>
      <c r="N974" s="6" t="str">
        <f>IF(M974="","",'Summary'!$B$4+SUM($M$2:M974))</f>
        <v> </v>
      </c>
    </row>
    <row r="975" spans="1:14">
      <c r="A975" s="2"/>
      <c r="B975" s="3"/>
      <c r="C975" s="3"/>
      <c r="D975" s="3"/>
      <c r="E975" s="3"/>
      <c r="F975" s="3"/>
      <c r="G975" s="3"/>
      <c r="H975" s="4"/>
      <c r="I975" s="5"/>
      <c r="J975" s="6"/>
      <c r="K975" s="3"/>
      <c r="L975" s="6"/>
      <c r="M975" s="6" t="str">
        <f>IF(OR(K975="",K975="Pending"),"",L975-J975)</f>
        <v> </v>
      </c>
      <c r="N975" s="6" t="str">
        <f>IF(M975="","",'Summary'!$B$4+SUM($M$2:M975))</f>
        <v> </v>
      </c>
    </row>
    <row r="976" spans="1:14">
      <c r="A976" s="2"/>
      <c r="B976" s="3"/>
      <c r="C976" s="3"/>
      <c r="D976" s="3"/>
      <c r="E976" s="3"/>
      <c r="F976" s="3"/>
      <c r="G976" s="3"/>
      <c r="H976" s="4"/>
      <c r="I976" s="5"/>
      <c r="J976" s="6"/>
      <c r="K976" s="3"/>
      <c r="L976" s="6"/>
      <c r="M976" s="6" t="str">
        <f>IF(OR(K976="",K976="Pending"),"",L976-J976)</f>
        <v> </v>
      </c>
      <c r="N976" s="6" t="str">
        <f>IF(M976="","",'Summary'!$B$4+SUM($M$2:M976))</f>
        <v> </v>
      </c>
    </row>
    <row r="977" spans="1:14">
      <c r="A977" s="2"/>
      <c r="B977" s="3"/>
      <c r="C977" s="3"/>
      <c r="D977" s="3"/>
      <c r="E977" s="3"/>
      <c r="F977" s="3"/>
      <c r="G977" s="3"/>
      <c r="H977" s="4"/>
      <c r="I977" s="5"/>
      <c r="J977" s="6"/>
      <c r="K977" s="3"/>
      <c r="L977" s="6"/>
      <c r="M977" s="6" t="str">
        <f>IF(OR(K977="",K977="Pending"),"",L977-J977)</f>
        <v> </v>
      </c>
      <c r="N977" s="6" t="str">
        <f>IF(M977="","",'Summary'!$B$4+SUM($M$2:M977))</f>
        <v> </v>
      </c>
    </row>
    <row r="978" spans="1:14">
      <c r="A978" s="2"/>
      <c r="B978" s="3"/>
      <c r="C978" s="3"/>
      <c r="D978" s="3"/>
      <c r="E978" s="3"/>
      <c r="F978" s="3"/>
      <c r="G978" s="3"/>
      <c r="H978" s="4"/>
      <c r="I978" s="5"/>
      <c r="J978" s="6"/>
      <c r="K978" s="3"/>
      <c r="L978" s="6"/>
      <c r="M978" s="6" t="str">
        <f>IF(OR(K978="",K978="Pending"),"",L978-J978)</f>
        <v> </v>
      </c>
      <c r="N978" s="6" t="str">
        <f>IF(M978="","",'Summary'!$B$4+SUM($M$2:M978))</f>
        <v> </v>
      </c>
    </row>
    <row r="979" spans="1:14">
      <c r="A979" s="2"/>
      <c r="B979" s="3"/>
      <c r="C979" s="3"/>
      <c r="D979" s="3"/>
      <c r="E979" s="3"/>
      <c r="F979" s="3"/>
      <c r="G979" s="3"/>
      <c r="H979" s="4"/>
      <c r="I979" s="5"/>
      <c r="J979" s="6"/>
      <c r="K979" s="3"/>
      <c r="L979" s="6"/>
      <c r="M979" s="6" t="str">
        <f>IF(OR(K979="",K979="Pending"),"",L979-J979)</f>
        <v> </v>
      </c>
      <c r="N979" s="6" t="str">
        <f>IF(M979="","",'Summary'!$B$4+SUM($M$2:M979))</f>
        <v> </v>
      </c>
    </row>
    <row r="980" spans="1:14">
      <c r="A980" s="2"/>
      <c r="B980" s="3"/>
      <c r="C980" s="3"/>
      <c r="D980" s="3"/>
      <c r="E980" s="3"/>
      <c r="F980" s="3"/>
      <c r="G980" s="3"/>
      <c r="H980" s="4"/>
      <c r="I980" s="5"/>
      <c r="J980" s="6"/>
      <c r="K980" s="3"/>
      <c r="L980" s="6"/>
      <c r="M980" s="6" t="str">
        <f>IF(OR(K980="",K980="Pending"),"",L980-J980)</f>
        <v> </v>
      </c>
      <c r="N980" s="6" t="str">
        <f>IF(M980="","",'Summary'!$B$4+SUM($M$2:M980))</f>
        <v> </v>
      </c>
    </row>
    <row r="981" spans="1:14">
      <c r="A981" s="2"/>
      <c r="B981" s="3"/>
      <c r="C981" s="3"/>
      <c r="D981" s="3"/>
      <c r="E981" s="3"/>
      <c r="F981" s="3"/>
      <c r="G981" s="3"/>
      <c r="H981" s="4"/>
      <c r="I981" s="5"/>
      <c r="J981" s="6"/>
      <c r="K981" s="3"/>
      <c r="L981" s="6"/>
      <c r="M981" s="6" t="str">
        <f>IF(OR(K981="",K981="Pending"),"",L981-J981)</f>
        <v> </v>
      </c>
      <c r="N981" s="6" t="str">
        <f>IF(M981="","",'Summary'!$B$4+SUM($M$2:M981))</f>
        <v> </v>
      </c>
    </row>
    <row r="982" spans="1:14">
      <c r="A982" s="2"/>
      <c r="B982" s="3"/>
      <c r="C982" s="3"/>
      <c r="D982" s="3"/>
      <c r="E982" s="3"/>
      <c r="F982" s="3"/>
      <c r="G982" s="3"/>
      <c r="H982" s="4"/>
      <c r="I982" s="5"/>
      <c r="J982" s="6"/>
      <c r="K982" s="3"/>
      <c r="L982" s="6"/>
      <c r="M982" s="6" t="str">
        <f>IF(OR(K982="",K982="Pending"),"",L982-J982)</f>
        <v> </v>
      </c>
      <c r="N982" s="6" t="str">
        <f>IF(M982="","",'Summary'!$B$4+SUM($M$2:M982))</f>
        <v> </v>
      </c>
    </row>
    <row r="983" spans="1:14">
      <c r="A983" s="2"/>
      <c r="B983" s="3"/>
      <c r="C983" s="3"/>
      <c r="D983" s="3"/>
      <c r="E983" s="3"/>
      <c r="F983" s="3"/>
      <c r="G983" s="3"/>
      <c r="H983" s="4"/>
      <c r="I983" s="5"/>
      <c r="J983" s="6"/>
      <c r="K983" s="3"/>
      <c r="L983" s="6"/>
      <c r="M983" s="6" t="str">
        <f>IF(OR(K983="",K983="Pending"),"",L983-J983)</f>
        <v> </v>
      </c>
      <c r="N983" s="6" t="str">
        <f>IF(M983="","",'Summary'!$B$4+SUM($M$2:M983))</f>
        <v> </v>
      </c>
    </row>
    <row r="984" spans="1:14">
      <c r="A984" s="2"/>
      <c r="B984" s="3"/>
      <c r="C984" s="3"/>
      <c r="D984" s="3"/>
      <c r="E984" s="3"/>
      <c r="F984" s="3"/>
      <c r="G984" s="3"/>
      <c r="H984" s="4"/>
      <c r="I984" s="5"/>
      <c r="J984" s="6"/>
      <c r="K984" s="3"/>
      <c r="L984" s="6"/>
      <c r="M984" s="6" t="str">
        <f>IF(OR(K984="",K984="Pending"),"",L984-J984)</f>
        <v> </v>
      </c>
      <c r="N984" s="6" t="str">
        <f>IF(M984="","",'Summary'!$B$4+SUM($M$2:M984))</f>
        <v> </v>
      </c>
    </row>
    <row r="985" spans="1:14">
      <c r="A985" s="2"/>
      <c r="B985" s="3"/>
      <c r="C985" s="3"/>
      <c r="D985" s="3"/>
      <c r="E985" s="3"/>
      <c r="F985" s="3"/>
      <c r="G985" s="3"/>
      <c r="H985" s="4"/>
      <c r="I985" s="5"/>
      <c r="J985" s="6"/>
      <c r="K985" s="3"/>
      <c r="L985" s="6"/>
      <c r="M985" s="6" t="str">
        <f>IF(OR(K985="",K985="Pending"),"",L985-J985)</f>
        <v> </v>
      </c>
      <c r="N985" s="6" t="str">
        <f>IF(M985="","",'Summary'!$B$4+SUM($M$2:M985))</f>
        <v> </v>
      </c>
    </row>
    <row r="986" spans="1:14">
      <c r="A986" s="2"/>
      <c r="B986" s="3"/>
      <c r="C986" s="3"/>
      <c r="D986" s="3"/>
      <c r="E986" s="3"/>
      <c r="F986" s="3"/>
      <c r="G986" s="3"/>
      <c r="H986" s="4"/>
      <c r="I986" s="5"/>
      <c r="J986" s="6"/>
      <c r="K986" s="3"/>
      <c r="L986" s="6"/>
      <c r="M986" s="6" t="str">
        <f>IF(OR(K986="",K986="Pending"),"",L986-J986)</f>
        <v> </v>
      </c>
      <c r="N986" s="6" t="str">
        <f>IF(M986="","",'Summary'!$B$4+SUM($M$2:M986))</f>
        <v> </v>
      </c>
    </row>
    <row r="987" spans="1:14">
      <c r="A987" s="2"/>
      <c r="B987" s="3"/>
      <c r="C987" s="3"/>
      <c r="D987" s="3"/>
      <c r="E987" s="3"/>
      <c r="F987" s="3"/>
      <c r="G987" s="3"/>
      <c r="H987" s="4"/>
      <c r="I987" s="5"/>
      <c r="J987" s="6"/>
      <c r="K987" s="3"/>
      <c r="L987" s="6"/>
      <c r="M987" s="6" t="str">
        <f>IF(OR(K987="",K987="Pending"),"",L987-J987)</f>
        <v> </v>
      </c>
      <c r="N987" s="6" t="str">
        <f>IF(M987="","",'Summary'!$B$4+SUM($M$2:M987))</f>
        <v> </v>
      </c>
    </row>
    <row r="988" spans="1:14">
      <c r="A988" s="2"/>
      <c r="B988" s="3"/>
      <c r="C988" s="3"/>
      <c r="D988" s="3"/>
      <c r="E988" s="3"/>
      <c r="F988" s="3"/>
      <c r="G988" s="3"/>
      <c r="H988" s="4"/>
      <c r="I988" s="5"/>
      <c r="J988" s="6"/>
      <c r="K988" s="3"/>
      <c r="L988" s="6"/>
      <c r="M988" s="6" t="str">
        <f>IF(OR(K988="",K988="Pending"),"",L988-J988)</f>
        <v> </v>
      </c>
      <c r="N988" s="6" t="str">
        <f>IF(M988="","",'Summary'!$B$4+SUM($M$2:M988))</f>
        <v> </v>
      </c>
    </row>
    <row r="989" spans="1:14">
      <c r="A989" s="2"/>
      <c r="B989" s="3"/>
      <c r="C989" s="3"/>
      <c r="D989" s="3"/>
      <c r="E989" s="3"/>
      <c r="F989" s="3"/>
      <c r="G989" s="3"/>
      <c r="H989" s="4"/>
      <c r="I989" s="5"/>
      <c r="J989" s="6"/>
      <c r="K989" s="3"/>
      <c r="L989" s="6"/>
      <c r="M989" s="6" t="str">
        <f>IF(OR(K989="",K989="Pending"),"",L989-J989)</f>
        <v> </v>
      </c>
      <c r="N989" s="6" t="str">
        <f>IF(M989="","",'Summary'!$B$4+SUM($M$2:M989))</f>
        <v> </v>
      </c>
    </row>
    <row r="990" spans="1:14">
      <c r="A990" s="2"/>
      <c r="B990" s="3"/>
      <c r="C990" s="3"/>
      <c r="D990" s="3"/>
      <c r="E990" s="3"/>
      <c r="F990" s="3"/>
      <c r="G990" s="3"/>
      <c r="H990" s="4"/>
      <c r="I990" s="5"/>
      <c r="J990" s="6"/>
      <c r="K990" s="3"/>
      <c r="L990" s="6"/>
      <c r="M990" s="6" t="str">
        <f>IF(OR(K990="",K990="Pending"),"",L990-J990)</f>
        <v> </v>
      </c>
      <c r="N990" s="6" t="str">
        <f>IF(M990="","",'Summary'!$B$4+SUM($M$2:M990))</f>
        <v> </v>
      </c>
    </row>
    <row r="991" spans="1:14">
      <c r="A991" s="2"/>
      <c r="B991" s="3"/>
      <c r="C991" s="3"/>
      <c r="D991" s="3"/>
      <c r="E991" s="3"/>
      <c r="F991" s="3"/>
      <c r="G991" s="3"/>
      <c r="H991" s="4"/>
      <c r="I991" s="5"/>
      <c r="J991" s="6"/>
      <c r="K991" s="3"/>
      <c r="L991" s="6"/>
      <c r="M991" s="6" t="str">
        <f>IF(OR(K991="",K991="Pending"),"",L991-J991)</f>
        <v> </v>
      </c>
      <c r="N991" s="6" t="str">
        <f>IF(M991="","",'Summary'!$B$4+SUM($M$2:M991))</f>
        <v> </v>
      </c>
    </row>
    <row r="992" spans="1:14">
      <c r="A992" s="2"/>
      <c r="B992" s="3"/>
      <c r="C992" s="3"/>
      <c r="D992" s="3"/>
      <c r="E992" s="3"/>
      <c r="F992" s="3"/>
      <c r="G992" s="3"/>
      <c r="H992" s="4"/>
      <c r="I992" s="5"/>
      <c r="J992" s="6"/>
      <c r="K992" s="3"/>
      <c r="L992" s="6"/>
      <c r="M992" s="6" t="str">
        <f>IF(OR(K992="",K992="Pending"),"",L992-J992)</f>
        <v> </v>
      </c>
      <c r="N992" s="6" t="str">
        <f>IF(M992="","",'Summary'!$B$4+SUM($M$2:M992))</f>
        <v> </v>
      </c>
    </row>
    <row r="993" spans="1:14">
      <c r="A993" s="2"/>
      <c r="B993" s="3"/>
      <c r="C993" s="3"/>
      <c r="D993" s="3"/>
      <c r="E993" s="3"/>
      <c r="F993" s="3"/>
      <c r="G993" s="3"/>
      <c r="H993" s="4"/>
      <c r="I993" s="5"/>
      <c r="J993" s="6"/>
      <c r="K993" s="3"/>
      <c r="L993" s="6"/>
      <c r="M993" s="6" t="str">
        <f>IF(OR(K993="",K993="Pending"),"",L993-J993)</f>
        <v> </v>
      </c>
      <c r="N993" s="6" t="str">
        <f>IF(M993="","",'Summary'!$B$4+SUM($M$2:M993))</f>
        <v> </v>
      </c>
    </row>
    <row r="994" spans="1:14">
      <c r="A994" s="2"/>
      <c r="B994" s="3"/>
      <c r="C994" s="3"/>
      <c r="D994" s="3"/>
      <c r="E994" s="3"/>
      <c r="F994" s="3"/>
      <c r="G994" s="3"/>
      <c r="H994" s="4"/>
      <c r="I994" s="5"/>
      <c r="J994" s="6"/>
      <c r="K994" s="3"/>
      <c r="L994" s="6"/>
      <c r="M994" s="6" t="str">
        <f>IF(OR(K994="",K994="Pending"),"",L994-J994)</f>
        <v> </v>
      </c>
      <c r="N994" s="6" t="str">
        <f>IF(M994="","",'Summary'!$B$4+SUM($M$2:M994))</f>
        <v> </v>
      </c>
    </row>
    <row r="995" spans="1:14">
      <c r="A995" s="2"/>
      <c r="B995" s="3"/>
      <c r="C995" s="3"/>
      <c r="D995" s="3"/>
      <c r="E995" s="3"/>
      <c r="F995" s="3"/>
      <c r="G995" s="3"/>
      <c r="H995" s="4"/>
      <c r="I995" s="5"/>
      <c r="J995" s="6"/>
      <c r="K995" s="3"/>
      <c r="L995" s="6"/>
      <c r="M995" s="6" t="str">
        <f>IF(OR(K995="",K995="Pending"),"",L995-J995)</f>
        <v> </v>
      </c>
      <c r="N995" s="6" t="str">
        <f>IF(M995="","",'Summary'!$B$4+SUM($M$2:M995))</f>
        <v> </v>
      </c>
    </row>
    <row r="996" spans="1:14">
      <c r="A996" s="2"/>
      <c r="B996" s="3"/>
      <c r="C996" s="3"/>
      <c r="D996" s="3"/>
      <c r="E996" s="3"/>
      <c r="F996" s="3"/>
      <c r="G996" s="3"/>
      <c r="H996" s="4"/>
      <c r="I996" s="5"/>
      <c r="J996" s="6"/>
      <c r="K996" s="3"/>
      <c r="L996" s="6"/>
      <c r="M996" s="6" t="str">
        <f>IF(OR(K996="",K996="Pending"),"",L996-J996)</f>
        <v> </v>
      </c>
      <c r="N996" s="6" t="str">
        <f>IF(M996="","",'Summary'!$B$4+SUM($M$2:M996))</f>
        <v> </v>
      </c>
    </row>
    <row r="997" spans="1:14">
      <c r="A997" s="2"/>
      <c r="B997" s="3"/>
      <c r="C997" s="3"/>
      <c r="D997" s="3"/>
      <c r="E997" s="3"/>
      <c r="F997" s="3"/>
      <c r="G997" s="3"/>
      <c r="H997" s="4"/>
      <c r="I997" s="5"/>
      <c r="J997" s="6"/>
      <c r="K997" s="3"/>
      <c r="L997" s="6"/>
      <c r="M997" s="6" t="str">
        <f>IF(OR(K997="",K997="Pending"),"",L997-J997)</f>
        <v> </v>
      </c>
      <c r="N997" s="6" t="str">
        <f>IF(M997="","",'Summary'!$B$4+SUM($M$2:M997))</f>
        <v> </v>
      </c>
    </row>
    <row r="998" spans="1:14">
      <c r="A998" s="2"/>
      <c r="B998" s="3"/>
      <c r="C998" s="3"/>
      <c r="D998" s="3"/>
      <c r="E998" s="3"/>
      <c r="F998" s="3"/>
      <c r="G998" s="3"/>
      <c r="H998" s="4"/>
      <c r="I998" s="5"/>
      <c r="J998" s="6"/>
      <c r="K998" s="3"/>
      <c r="L998" s="6"/>
      <c r="M998" s="6" t="str">
        <f>IF(OR(K998="",K998="Pending"),"",L998-J998)</f>
        <v> </v>
      </c>
      <c r="N998" s="6" t="str">
        <f>IF(M998="","",'Summary'!$B$4+SUM($M$2:M998))</f>
        <v> </v>
      </c>
    </row>
    <row r="999" spans="1:14">
      <c r="A999" s="2"/>
      <c r="B999" s="3"/>
      <c r="C999" s="3"/>
      <c r="D999" s="3"/>
      <c r="E999" s="3"/>
      <c r="F999" s="3"/>
      <c r="G999" s="3"/>
      <c r="H999" s="4"/>
      <c r="I999" s="5"/>
      <c r="J999" s="6"/>
      <c r="K999" s="3"/>
      <c r="L999" s="6"/>
      <c r="M999" s="6" t="str">
        <f>IF(OR(K999="",K999="Pending"),"",L999-J999)</f>
        <v> </v>
      </c>
      <c r="N999" s="6" t="str">
        <f>IF(M999="","",'Summary'!$B$4+SUM($M$2:M999))</f>
        <v> </v>
      </c>
    </row>
    <row r="1000" spans="1:14">
      <c r="A1000" s="2"/>
      <c r="B1000" s="3"/>
      <c r="C1000" s="3"/>
      <c r="D1000" s="3"/>
      <c r="E1000" s="3"/>
      <c r="F1000" s="3"/>
      <c r="G1000" s="3"/>
      <c r="H1000" s="4"/>
      <c r="I1000" s="5"/>
      <c r="J1000" s="6"/>
      <c r="K1000" s="3"/>
      <c r="L1000" s="6"/>
      <c r="M1000" s="6" t="str">
        <f>IF(OR(K1000="",K1000="Pending"),"",L1000-J1000)</f>
        <v> </v>
      </c>
      <c r="N1000" s="6" t="str">
        <f>IF(M1000="","",'Summary'!$B$4+SUM($M$2:M1000))</f>
        <v> </v>
      </c>
    </row>
  </sheetData>
  <dataValidations count="1">
    <dataValidation type="list" allowBlank="1" showInputMessage="1" showErrorMessage="1" sqref="K2:K1000">
      <formula1>"Won,Lost,Void,Cash out,Pending"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6.7109375" customWidth="1"/>
    <col min="2" max="2" width="16.7109375" customWidth="1"/>
  </cols>
  <sheetData>
    <row r="1" spans="1:2">
      <c r="A1" s="7" t="s">
        <v>40</v>
      </c>
    </row>
    <row r="2" spans="1:2" ht="92" customHeight="1">
      <c r="A2" s="8" t="s">
        <v>41</v>
      </c>
      <c r="B2" s="8"/>
    </row>
    <row r="4" spans="1:2">
      <c r="A4" s="9" t="s">
        <v>42</v>
      </c>
      <c r="B4" s="10">
        <v>200</v>
      </c>
    </row>
    <row r="6" spans="1:2">
      <c r="A6" s="3" t="s">
        <v>43</v>
      </c>
      <c r="B6" s="4">
        <f>COUNTIFS('Bets'!$K$2:$K$1000,"&lt;&gt;",'Bets'!$K$2:$K$1000,"&lt;&gt;Pending",'Bets'!$K$2:$K$1000,"&lt;&gt;Void")</f>
        <v>5</v>
      </c>
    </row>
    <row r="7" spans="1:2">
      <c r="A7" s="3" t="s">
        <v>44</v>
      </c>
      <c r="B7" s="4">
        <f>COUNTIF('Bets'!$K$2:$K$1000,"Won")</f>
        <v>2</v>
      </c>
    </row>
    <row r="8" spans="1:2">
      <c r="A8" s="3" t="s">
        <v>45</v>
      </c>
      <c r="B8" s="4">
        <f>COUNTIF('Bets'!$K$2:$K$1000,"Lost")</f>
        <v>2</v>
      </c>
    </row>
    <row r="9" spans="1:2">
      <c r="A9" s="3" t="s">
        <v>46</v>
      </c>
      <c r="B9" s="6">
        <f>SUMIFS('Bets'!$J$2:$J$1000,'Bets'!$K$2:$K$1000,"&lt;&gt;",'Bets'!$K$2:$K$1000,"&lt;&gt;Pending",'Bets'!$K$2:$K$1000,"&lt;&gt;Void")</f>
        <v>50</v>
      </c>
    </row>
    <row r="10" spans="1:2">
      <c r="A10" s="3" t="s">
        <v>47</v>
      </c>
      <c r="B10" s="6">
        <f>SUMIFS('Bets'!$L$2:$L$1000,'Bets'!$K$2:$K$1000,"&lt;&gt;",'Bets'!$K$2:$K$1000,"&lt;&gt;Pending",'Bets'!$K$2:$K$1000,"&lt;&gt;Void")</f>
        <v>51.5</v>
      </c>
    </row>
    <row r="11" spans="1:2" ht="24" customHeight="1">
      <c r="A11" s="11" t="s">
        <v>48</v>
      </c>
      <c r="B11" s="12">
        <f>B10-B9</f>
        <v>1.5</v>
      </c>
    </row>
    <row r="12" spans="1:2">
      <c r="A12" s="3" t="s">
        <v>49</v>
      </c>
      <c r="B12" s="13">
        <f>IFERROR(B11/B9,"")</f>
        <v>0.03</v>
      </c>
    </row>
    <row r="13" spans="1:2">
      <c r="A13" s="3" t="s">
        <v>50</v>
      </c>
      <c r="B13" s="14">
        <f>IFERROR(B7/(B7+B8),"")</f>
        <v>0.5</v>
      </c>
    </row>
    <row r="14" spans="1:2">
      <c r="A14" s="3" t="s">
        <v>51</v>
      </c>
      <c r="B14" s="5">
        <f>IFERROR(AVERAGEIFS('Bets'!$I$2:$I$1000,'Bets'!$K$2:$K$1000,"&lt;&gt;",'Bets'!$K$2:$K$1000,"&lt;&gt;Pending",'Bets'!$K$2:$K$1000,"&lt;&gt;Void"),"")</f>
        <v>2.6</v>
      </c>
    </row>
    <row r="15" spans="1:2">
      <c r="A15" s="3" t="s">
        <v>52</v>
      </c>
      <c r="B15" s="6">
        <f>SUMIFS('Bets'!$J$2:$J$1000,'Bets'!$K$2:$K$1000,"Pending")</f>
        <v>10</v>
      </c>
    </row>
    <row r="16" spans="1:2">
      <c r="A16" s="3" t="s">
        <v>53</v>
      </c>
      <c r="B16" s="15">
        <f>B4+B11</f>
        <v>201.5</v>
      </c>
    </row>
    <row r="18" spans="1:1">
      <c r="A18" s="16" t="s">
        <v>54</v>
      </c>
    </row>
  </sheetData>
  <mergeCells count="1">
    <mergeCell ref="A2:B2"/>
  </mergeCells>
  <conditionalFormatting sqref="A11:B11">
    <cfRule type="expression" dxfId="0" priority="1">
      <formula>$B$11&gt;0</formula>
    </cfRule>
    <cfRule type="expression" dxfId="1" priority="2">
      <formula>$B$11&lt;0</formula>
    </cfRule>
  </conditionalFormatting>
  <hyperlinks>
    <hyperlink ref="A18" r:id="rId1"/>
  </hyperlinks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7" t="s">
        <v>72</v>
      </c>
    </row>
    <row r="2" spans="1:1">
      <c r="A2" s="17" t="s">
        <v>73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55</v>
      </c>
    </row>
    <row r="2" spans="1:5" ht="30" customHeight="1">
      <c r="A2" s="8" t="s">
        <v>56</v>
      </c>
      <c r="B2" s="8"/>
      <c r="C2" s="8"/>
      <c r="D2" s="8"/>
      <c r="E2" s="8"/>
    </row>
    <row r="4" spans="1:5">
      <c r="A4" s="1" t="s">
        <v>57</v>
      </c>
      <c r="B4" s="1" t="s">
        <v>58</v>
      </c>
      <c r="C4" s="1" t="s">
        <v>48</v>
      </c>
      <c r="D4" s="18" t="s">
        <v>59</v>
      </c>
      <c r="E4" s="18" t="s">
        <v>60</v>
      </c>
    </row>
    <row r="5" spans="1:5">
      <c r="A5" s="19">
        <f>IF(COUNT('Bets'!$A$2:$A$1000)=0,"",EDATE(DATE(YEAR(MAX('Bets'!$A$2:$A$1000)),MONTH(MAX('Bets'!$A$2:$A$1000)),1),-11))</f>
        <v>45962</v>
      </c>
      <c r="B5" s="20">
        <f>IF($A5="","",SUMIFS('Bets'!$J$2:$J$1000,'Bets'!$A$2:$A$1000,"&gt;="&amp;$A5,'Bets'!$A$2:$A$1000,"&lt;"&amp;EDATE($A5,1),'Bets'!$K$2:$K$1000,"&lt;&gt;",'Bets'!$K$2:$K$1000,"&lt;&gt;Pending",'Bets'!$K$2:$K$1000,"&lt;&gt;Void"))</f>
        <v>0</v>
      </c>
      <c r="C5" s="20">
        <f>IF($A5="","",SUMIFS('Bets'!$M$2:$M$1000,'Bets'!$A$2:$A$1000,"&gt;="&amp;$A5,'Bets'!$A$2:$A$1000,"&lt;"&amp;EDATE($A5,1)))</f>
        <v>0</v>
      </c>
      <c r="D5" s="21">
        <f>IF(C5="","",MAX(C5,0))</f>
        <v>0</v>
      </c>
      <c r="E5" s="21">
        <f>IF(C5="","",MIN(C5,0))</f>
        <v>0</v>
      </c>
    </row>
    <row r="6" spans="1:5">
      <c r="A6" s="19">
        <f>IF(COUNT('Bets'!$A$2:$A$1000)=0,"",EDATE(DATE(YEAR(MAX('Bets'!$A$2:$A$1000)),MONTH(MAX('Bets'!$A$2:$A$1000)),1),-10))</f>
        <v>45992</v>
      </c>
      <c r="B6" s="20">
        <f>IF($A6="","",SUMIFS('Bets'!$J$2:$J$1000,'Bets'!$A$2:$A$1000,"&gt;="&amp;$A6,'Bets'!$A$2:$A$1000,"&lt;"&amp;EDATE($A6,1),'Bets'!$K$2:$K$1000,"&lt;&gt;",'Bets'!$K$2:$K$1000,"&lt;&gt;Pending",'Bets'!$K$2:$K$1000,"&lt;&gt;Void"))</f>
        <v>0</v>
      </c>
      <c r="C6" s="20">
        <f>IF($A6="","",SUMIFS('Bets'!$M$2:$M$1000,'Bets'!$A$2:$A$1000,"&gt;="&amp;$A6,'Bets'!$A$2:$A$1000,"&lt;"&amp;EDATE($A6,1)))</f>
        <v>0</v>
      </c>
      <c r="D6" s="21">
        <f>IF(C6="","",MAX(C6,0))</f>
        <v>0</v>
      </c>
      <c r="E6" s="21">
        <f>IF(C6="","",MIN(C6,0))</f>
        <v>0</v>
      </c>
    </row>
    <row r="7" spans="1:5">
      <c r="A7" s="19">
        <f>IF(COUNT('Bets'!$A$2:$A$1000)=0,"",EDATE(DATE(YEAR(MAX('Bets'!$A$2:$A$1000)),MONTH(MAX('Bets'!$A$2:$A$1000)),1),-9))</f>
        <v>46023</v>
      </c>
      <c r="B7" s="20">
        <f>IF($A7="","",SUMIFS('Bets'!$J$2:$J$1000,'Bets'!$A$2:$A$1000,"&gt;="&amp;$A7,'Bets'!$A$2:$A$1000,"&lt;"&amp;EDATE($A7,1),'Bets'!$K$2:$K$1000,"&lt;&gt;",'Bets'!$K$2:$K$1000,"&lt;&gt;Pending",'Bets'!$K$2:$K$1000,"&lt;&gt;Void"))</f>
        <v>0</v>
      </c>
      <c r="C7" s="20">
        <f>IF($A7="","",SUMIFS('Bets'!$M$2:$M$1000,'Bets'!$A$2:$A$1000,"&gt;="&amp;$A7,'Bets'!$A$2:$A$1000,"&lt;"&amp;EDATE($A7,1)))</f>
        <v>0</v>
      </c>
      <c r="D7" s="21">
        <f>IF(C7="","",MAX(C7,0))</f>
        <v>0</v>
      </c>
      <c r="E7" s="21">
        <f>IF(C7="","",MIN(C7,0))</f>
        <v>0</v>
      </c>
    </row>
    <row r="8" spans="1:5">
      <c r="A8" s="19">
        <f>IF(COUNT('Bets'!$A$2:$A$1000)=0,"",EDATE(DATE(YEAR(MAX('Bets'!$A$2:$A$1000)),MONTH(MAX('Bets'!$A$2:$A$1000)),1),-8))</f>
        <v>46054</v>
      </c>
      <c r="B8" s="20">
        <f>IF($A8="","",SUMIFS('Bets'!$J$2:$J$1000,'Bets'!$A$2:$A$1000,"&gt;="&amp;$A8,'Bets'!$A$2:$A$1000,"&lt;"&amp;EDATE($A8,1),'Bets'!$K$2:$K$1000,"&lt;&gt;",'Bets'!$K$2:$K$1000,"&lt;&gt;Pending",'Bets'!$K$2:$K$1000,"&lt;&gt;Void"))</f>
        <v>0</v>
      </c>
      <c r="C8" s="20">
        <f>IF($A8="","",SUMIFS('Bets'!$M$2:$M$1000,'Bets'!$A$2:$A$1000,"&gt;="&amp;$A8,'Bets'!$A$2:$A$1000,"&lt;"&amp;EDATE($A8,1)))</f>
        <v>0</v>
      </c>
      <c r="D8" s="21">
        <f>IF(C8="","",MAX(C8,0))</f>
        <v>0</v>
      </c>
      <c r="E8" s="21">
        <f>IF(C8="","",MIN(C8,0))</f>
        <v>0</v>
      </c>
    </row>
    <row r="9" spans="1:5">
      <c r="A9" s="19">
        <f>IF(COUNT('Bets'!$A$2:$A$1000)=0,"",EDATE(DATE(YEAR(MAX('Bets'!$A$2:$A$1000)),MONTH(MAX('Bets'!$A$2:$A$1000)),1),-7))</f>
        <v>46082</v>
      </c>
      <c r="B9" s="20">
        <f>IF($A9="","",SUMIFS('Bets'!$J$2:$J$1000,'Bets'!$A$2:$A$1000,"&gt;="&amp;$A9,'Bets'!$A$2:$A$1000,"&lt;"&amp;EDATE($A9,1),'Bets'!$K$2:$K$1000,"&lt;&gt;",'Bets'!$K$2:$K$1000,"&lt;&gt;Pending",'Bets'!$K$2:$K$1000,"&lt;&gt;Void"))</f>
        <v>0</v>
      </c>
      <c r="C9" s="20">
        <f>IF($A9="","",SUMIFS('Bets'!$M$2:$M$1000,'Bets'!$A$2:$A$1000,"&gt;="&amp;$A9,'Bets'!$A$2:$A$1000,"&lt;"&amp;EDATE($A9,1)))</f>
        <v>0</v>
      </c>
      <c r="D9" s="21">
        <f>IF(C9="","",MAX(C9,0))</f>
        <v>0</v>
      </c>
      <c r="E9" s="21">
        <f>IF(C9="","",MIN(C9,0))</f>
        <v>0</v>
      </c>
    </row>
    <row r="10" spans="1:5">
      <c r="A10" s="19">
        <f>IF(COUNT('Bets'!$A$2:$A$1000)=0,"",EDATE(DATE(YEAR(MAX('Bets'!$A$2:$A$1000)),MONTH(MAX('Bets'!$A$2:$A$1000)),1),-6))</f>
        <v>46113</v>
      </c>
      <c r="B10" s="20">
        <f>IF($A10="","",SUMIFS('Bets'!$J$2:$J$1000,'Bets'!$A$2:$A$1000,"&gt;="&amp;$A10,'Bets'!$A$2:$A$1000,"&lt;"&amp;EDATE($A10,1),'Bets'!$K$2:$K$1000,"&lt;&gt;",'Bets'!$K$2:$K$1000,"&lt;&gt;Pending",'Bets'!$K$2:$K$1000,"&lt;&gt;Void"))</f>
        <v>0</v>
      </c>
      <c r="C10" s="20">
        <f>IF($A10="","",SUMIFS('Bets'!$M$2:$M$1000,'Bets'!$A$2:$A$1000,"&gt;="&amp;$A10,'Bets'!$A$2:$A$1000,"&lt;"&amp;EDATE($A10,1)))</f>
        <v>0</v>
      </c>
      <c r="D10" s="21">
        <f>IF(C10="","",MAX(C10,0))</f>
        <v>0</v>
      </c>
      <c r="E10" s="21">
        <f>IF(C10="","",MIN(C10,0))</f>
        <v>0</v>
      </c>
    </row>
    <row r="11" spans="1:5">
      <c r="A11" s="19">
        <f>IF(COUNT('Bets'!$A$2:$A$1000)=0,"",EDATE(DATE(YEAR(MAX('Bets'!$A$2:$A$1000)),MONTH(MAX('Bets'!$A$2:$A$1000)),1),-5))</f>
        <v>46143</v>
      </c>
      <c r="B11" s="20">
        <f>IF($A11="","",SUMIFS('Bets'!$J$2:$J$1000,'Bets'!$A$2:$A$1000,"&gt;="&amp;$A11,'Bets'!$A$2:$A$1000,"&lt;"&amp;EDATE($A11,1),'Bets'!$K$2:$K$1000,"&lt;&gt;",'Bets'!$K$2:$K$1000,"&lt;&gt;Pending",'Bets'!$K$2:$K$1000,"&lt;&gt;Void"))</f>
        <v>0</v>
      </c>
      <c r="C11" s="20">
        <f>IF($A11="","",SUMIFS('Bets'!$M$2:$M$1000,'Bets'!$A$2:$A$1000,"&gt;="&amp;$A11,'Bets'!$A$2:$A$1000,"&lt;"&amp;EDATE($A11,1)))</f>
        <v>0</v>
      </c>
      <c r="D11" s="21">
        <f>IF(C11="","",MAX(C11,0))</f>
        <v>0</v>
      </c>
      <c r="E11" s="21">
        <f>IF(C11="","",MIN(C11,0))</f>
        <v>0</v>
      </c>
    </row>
    <row r="12" spans="1:5">
      <c r="A12" s="19">
        <f>IF(COUNT('Bets'!$A$2:$A$1000)=0,"",EDATE(DATE(YEAR(MAX('Bets'!$A$2:$A$1000)),MONTH(MAX('Bets'!$A$2:$A$1000)),1),-4))</f>
        <v>46174</v>
      </c>
      <c r="B12" s="20">
        <f>IF($A12="","",SUMIFS('Bets'!$J$2:$J$1000,'Bets'!$A$2:$A$1000,"&gt;="&amp;$A12,'Bets'!$A$2:$A$1000,"&lt;"&amp;EDATE($A12,1),'Bets'!$K$2:$K$1000,"&lt;&gt;",'Bets'!$K$2:$K$1000,"&lt;&gt;Pending",'Bets'!$K$2:$K$1000,"&lt;&gt;Void"))</f>
        <v>0</v>
      </c>
      <c r="C12" s="20">
        <f>IF($A12="","",SUMIFS('Bets'!$M$2:$M$1000,'Bets'!$A$2:$A$1000,"&gt;="&amp;$A12,'Bets'!$A$2:$A$1000,"&lt;"&amp;EDATE($A12,1)))</f>
        <v>0</v>
      </c>
      <c r="D12" s="21">
        <f>IF(C12="","",MAX(C12,0))</f>
        <v>0</v>
      </c>
      <c r="E12" s="21">
        <f>IF(C12="","",MIN(C12,0))</f>
        <v>0</v>
      </c>
    </row>
    <row r="13" spans="1:5">
      <c r="A13" s="19">
        <f>IF(COUNT('Bets'!$A$2:$A$1000)=0,"",EDATE(DATE(YEAR(MAX('Bets'!$A$2:$A$1000)),MONTH(MAX('Bets'!$A$2:$A$1000)),1),-3))</f>
        <v>46204</v>
      </c>
      <c r="B13" s="20">
        <f>IF($A13="","",SUMIFS('Bets'!$J$2:$J$1000,'Bets'!$A$2:$A$1000,"&gt;="&amp;$A13,'Bets'!$A$2:$A$1000,"&lt;"&amp;EDATE($A13,1),'Bets'!$K$2:$K$1000,"&lt;&gt;",'Bets'!$K$2:$K$1000,"&lt;&gt;Pending",'Bets'!$K$2:$K$1000,"&lt;&gt;Void"))</f>
        <v>0</v>
      </c>
      <c r="C13" s="20">
        <f>IF($A13="","",SUMIFS('Bets'!$M$2:$M$1000,'Bets'!$A$2:$A$1000,"&gt;="&amp;$A13,'Bets'!$A$2:$A$1000,"&lt;"&amp;EDATE($A13,1)))</f>
        <v>0</v>
      </c>
      <c r="D13" s="21">
        <f>IF(C13="","",MAX(C13,0))</f>
        <v>0</v>
      </c>
      <c r="E13" s="21">
        <f>IF(C13="","",MIN(C13,0))</f>
        <v>0</v>
      </c>
    </row>
    <row r="14" spans="1:5">
      <c r="A14" s="19">
        <f>IF(COUNT('Bets'!$A$2:$A$1000)=0,"",EDATE(DATE(YEAR(MAX('Bets'!$A$2:$A$1000)),MONTH(MAX('Bets'!$A$2:$A$1000)),1),-2))</f>
        <v>46235</v>
      </c>
      <c r="B14" s="20">
        <f>IF($A14="","",SUMIFS('Bets'!$J$2:$J$1000,'Bets'!$A$2:$A$1000,"&gt;="&amp;$A14,'Bets'!$A$2:$A$1000,"&lt;"&amp;EDATE($A14,1),'Bets'!$K$2:$K$1000,"&lt;&gt;",'Bets'!$K$2:$K$1000,"&lt;&gt;Pending",'Bets'!$K$2:$K$1000,"&lt;&gt;Void"))</f>
        <v>0</v>
      </c>
      <c r="C14" s="20">
        <f>IF($A14="","",SUMIFS('Bets'!$M$2:$M$1000,'Bets'!$A$2:$A$1000,"&gt;="&amp;$A14,'Bets'!$A$2:$A$1000,"&lt;"&amp;EDATE($A14,1)))</f>
        <v>0</v>
      </c>
      <c r="D14" s="21">
        <f>IF(C14="","",MAX(C14,0))</f>
        <v>0</v>
      </c>
      <c r="E14" s="21">
        <f>IF(C14="","",MIN(C14,0))</f>
        <v>0</v>
      </c>
    </row>
    <row r="15" spans="1:5">
      <c r="A15" s="19">
        <f>IF(COUNT('Bets'!$A$2:$A$1000)=0,"",EDATE(DATE(YEAR(MAX('Bets'!$A$2:$A$1000)),MONTH(MAX('Bets'!$A$2:$A$1000)),1),-1))</f>
        <v>46266</v>
      </c>
      <c r="B15" s="20">
        <f>IF($A15="","",SUMIFS('Bets'!$J$2:$J$1000,'Bets'!$A$2:$A$1000,"&gt;="&amp;$A15,'Bets'!$A$2:$A$1000,"&lt;"&amp;EDATE($A15,1),'Bets'!$K$2:$K$1000,"&lt;&gt;",'Bets'!$K$2:$K$1000,"&lt;&gt;Pending",'Bets'!$K$2:$K$1000,"&lt;&gt;Void"))</f>
        <v>0</v>
      </c>
      <c r="C15" s="20">
        <f>IF($A15="","",SUMIFS('Bets'!$M$2:$M$1000,'Bets'!$A$2:$A$1000,"&gt;="&amp;$A15,'Bets'!$A$2:$A$1000,"&lt;"&amp;EDATE($A15,1)))</f>
        <v>0</v>
      </c>
      <c r="D15" s="21">
        <f>IF(C15="","",MAX(C15,0))</f>
        <v>0</v>
      </c>
      <c r="E15" s="21">
        <f>IF(C15="","",MIN(C15,0))</f>
        <v>0</v>
      </c>
    </row>
    <row r="16" spans="1:5">
      <c r="A16" s="19">
        <f>IF(COUNT('Bets'!$A$2:$A$1000)=0,"",EDATE(DATE(YEAR(MAX('Bets'!$A$2:$A$1000)),MONTH(MAX('Bets'!$A$2:$A$1000)),1),0))</f>
        <v>46296</v>
      </c>
      <c r="B16" s="20">
        <f>IF($A16="","",SUMIFS('Bets'!$J$2:$J$1000,'Bets'!$A$2:$A$1000,"&gt;="&amp;$A16,'Bets'!$A$2:$A$1000,"&lt;"&amp;EDATE($A16,1),'Bets'!$K$2:$K$1000,"&lt;&gt;",'Bets'!$K$2:$K$1000,"&lt;&gt;Pending",'Bets'!$K$2:$K$1000,"&lt;&gt;Void"))</f>
        <v>50</v>
      </c>
      <c r="C16" s="20">
        <f>IF($A16="","",SUMIFS('Bets'!$M$2:$M$1000,'Bets'!$A$2:$A$1000,"&gt;="&amp;$A16,'Bets'!$A$2:$A$1000,"&lt;"&amp;EDATE($A16,1)))</f>
        <v>1.5</v>
      </c>
      <c r="D16" s="21">
        <f>IF(C16="","",MAX(C16,0))</f>
        <v>1.5</v>
      </c>
      <c r="E16" s="21">
        <f>IF(C16="","",MIN(C16,0))</f>
        <v>0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03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  <col min="8" max="8" width="9.7109375" customWidth="1"/>
  </cols>
  <sheetData>
    <row r="1" spans="1:8">
      <c r="A1" s="7" t="s">
        <v>61</v>
      </c>
    </row>
    <row r="2" spans="1:8" ht="30" customHeight="1">
      <c r="A2" s="8" t="s">
        <v>62</v>
      </c>
      <c r="B2" s="8"/>
      <c r="C2" s="8"/>
      <c r="D2" s="8"/>
      <c r="E2" s="8"/>
      <c r="F2" s="8"/>
      <c r="G2" s="8"/>
      <c r="H2" s="8"/>
    </row>
    <row r="4" spans="1:8">
      <c r="A4" s="1" t="s">
        <v>2</v>
      </c>
      <c r="B4" s="1" t="s">
        <v>63</v>
      </c>
      <c r="C4" s="1" t="s">
        <v>48</v>
      </c>
      <c r="D4" s="18" t="s">
        <v>59</v>
      </c>
      <c r="E4" s="18" t="s">
        <v>60</v>
      </c>
      <c r="H4" s="18" t="s">
        <v>64</v>
      </c>
    </row>
    <row r="5" spans="1:8">
      <c r="A5" s="22" t="str">
        <f>IFERROR(INDEX('Bets'!$C$2:$C$1000,MATCH(1,$H$5:$H$1003,0)),"")</f>
        <v>Football</v>
      </c>
      <c r="B5" s="22">
        <f>IF($A5="","",COUNTIFS('Bets'!$C$2:$C$1000,$A5,'Bets'!$K$2:$K$1000,"&lt;&gt;",'Bets'!$K$2:$K$1000,"&lt;&gt;Pending",'Bets'!$K$2:$K$1000,"&lt;&gt;Void"))</f>
        <v>3</v>
      </c>
      <c r="C5" s="20">
        <f>IF($A5="","",SUMIFS('Bets'!$M$2:$M$1000,'Bets'!$C$2:$C$1000,$A5))</f>
        <v>7.5</v>
      </c>
      <c r="D5" s="21">
        <f>IF(C5="","",MAX(C5,0))</f>
        <v>7.5</v>
      </c>
      <c r="E5" s="21">
        <f>IF(C5="","",MIN(C5,0))</f>
        <v>0</v>
      </c>
      <c r="H5" s="23">
        <f>IF('Bets'!C2="","",IF(COUNTIF('Bets'!$C$2:C2,'Bets'!C2)=1,MAX($H$4:H4)+1,""))</f>
        <v>1</v>
      </c>
    </row>
    <row r="6" spans="1:8">
      <c r="A6" s="22" t="str">
        <f>IFERROR(INDEX('Bets'!$C$2:$C$1000,MATCH(2,$H$5:$H$1003,0)),"")</f>
        <v>Tennis</v>
      </c>
      <c r="B6" s="22">
        <f>IF($A6="","",COUNTIFS('Bets'!$C$2:$C$1000,$A6,'Bets'!$K$2:$K$1000,"&lt;&gt;",'Bets'!$K$2:$K$1000,"&lt;&gt;Pending",'Bets'!$K$2:$K$1000,"&lt;&gt;Void"))</f>
        <v>1</v>
      </c>
      <c r="C6" s="20">
        <f>IF($A6="","",SUMIFS('Bets'!$M$2:$M$1000,'Bets'!$C$2:$C$1000,$A6))</f>
        <v>-15</v>
      </c>
      <c r="D6" s="21">
        <f>IF(C6="","",MAX(C6,0))</f>
        <v>0</v>
      </c>
      <c r="E6" s="21">
        <f>IF(C6="","",MIN(C6,0))</f>
        <v>-15</v>
      </c>
      <c r="H6" s="23">
        <f>IF('Bets'!C3="","",IF(COUNTIF('Bets'!$C$2:C3,'Bets'!C3)=1,MAX($H$4:H5)+1,""))</f>
        <v>2</v>
      </c>
    </row>
    <row r="7" spans="1:8">
      <c r="A7" s="22" t="str">
        <f>IFERROR(INDEX('Bets'!$C$2:$C$1000,MATCH(3,$H$5:$H$1003,0)),"")</f>
        <v>Basketball</v>
      </c>
      <c r="B7" s="22">
        <f>IF($A7="","",COUNTIFS('Bets'!$C$2:$C$1000,$A7,'Bets'!$K$2:$K$1000,"&lt;&gt;",'Bets'!$K$2:$K$1000,"&lt;&gt;Pending",'Bets'!$K$2:$K$1000,"&lt;&gt;Void"))</f>
        <v>1</v>
      </c>
      <c r="C7" s="20">
        <f>IF($A7="","",SUMIFS('Bets'!$M$2:$M$1000,'Bets'!$C$2:$C$1000,$A7))</f>
        <v>9.0</v>
      </c>
      <c r="D7" s="21">
        <f>IF(C7="","",MAX(C7,0))</f>
        <v>9.0</v>
      </c>
      <c r="E7" s="21">
        <f>IF(C7="","",MIN(C7,0))</f>
        <v>0</v>
      </c>
      <c r="H7" s="23" t="str">
        <f>IF('Bets'!C4="","",IF(COUNTIF('Bets'!$C$2:C4,'Bets'!C4)=1,MAX($H$4:H6)+1,""))</f>
        <v> </v>
      </c>
    </row>
    <row r="8" spans="1:8">
      <c r="A8" s="22" t="str">
        <f>IFERROR(INDEX('Bets'!$C$2:$C$1000,MATCH(4,$H$5:$H$1003,0)),"")</f>
        <v> </v>
      </c>
      <c r="B8" s="22" t="str">
        <f>IF($A8="","",COUNTIFS('Bets'!$C$2:$C$1000,$A8,'Bets'!$K$2:$K$1000,"&lt;&gt;",'Bets'!$K$2:$K$1000,"&lt;&gt;Pending",'Bets'!$K$2:$K$1000,"&lt;&gt;Void"))</f>
        <v> </v>
      </c>
      <c r="C8" s="20" t="str">
        <f>IF($A8="","",SUMIFS('Bets'!$M$2:$M$1000,'Bets'!$C$2:$C$1000,$A8))</f>
        <v> </v>
      </c>
      <c r="D8" s="21" t="str">
        <f>IF(C8="","",MAX(C8,0))</f>
        <v> </v>
      </c>
      <c r="E8" s="21" t="str">
        <f>IF(C8="","",MIN(C8,0))</f>
        <v> </v>
      </c>
      <c r="H8" s="23">
        <f>IF('Bets'!C5="","",IF(COUNTIF('Bets'!$C$2:C5,'Bets'!C5)=1,MAX($H$4:H7)+1,""))</f>
        <v>3</v>
      </c>
    </row>
    <row r="9" spans="1:8">
      <c r="A9" s="22" t="str">
        <f>IFERROR(INDEX('Bets'!$C$2:$C$1000,MATCH(5,$H$5:$H$1003,0)),"")</f>
        <v> </v>
      </c>
      <c r="B9" s="22" t="str">
        <f>IF($A9="","",COUNTIFS('Bets'!$C$2:$C$1000,$A9,'Bets'!$K$2:$K$1000,"&lt;&gt;",'Bets'!$K$2:$K$1000,"&lt;&gt;Pending",'Bets'!$K$2:$K$1000,"&lt;&gt;Void"))</f>
        <v> </v>
      </c>
      <c r="C9" s="20" t="str">
        <f>IF($A9="","",SUMIFS('Bets'!$M$2:$M$1000,'Bets'!$C$2:$C$1000,$A9))</f>
        <v> </v>
      </c>
      <c r="D9" s="21" t="str">
        <f>IF(C9="","",MAX(C9,0))</f>
        <v> </v>
      </c>
      <c r="E9" s="21" t="str">
        <f>IF(C9="","",MIN(C9,0))</f>
        <v> </v>
      </c>
      <c r="H9" s="23" t="str">
        <f>IF('Bets'!C6="","",IF(COUNTIF('Bets'!$C$2:C6,'Bets'!C6)=1,MAX($H$4:H8)+1,""))</f>
        <v> </v>
      </c>
    </row>
    <row r="10" spans="1:8">
      <c r="A10" s="22" t="str">
        <f>IFERROR(INDEX('Bets'!$C$2:$C$1000,MATCH(6,$H$5:$H$1003,0)),"")</f>
        <v> </v>
      </c>
      <c r="B10" s="22" t="str">
        <f>IF($A10="","",COUNTIFS('Bets'!$C$2:$C$1000,$A10,'Bets'!$K$2:$K$1000,"&lt;&gt;",'Bets'!$K$2:$K$1000,"&lt;&gt;Pending",'Bets'!$K$2:$K$1000,"&lt;&gt;Void"))</f>
        <v> </v>
      </c>
      <c r="C10" s="20" t="str">
        <f>IF($A10="","",SUMIFS('Bets'!$M$2:$M$1000,'Bets'!$C$2:$C$1000,$A10))</f>
        <v> </v>
      </c>
      <c r="D10" s="21" t="str">
        <f>IF(C10="","",MAX(C10,0))</f>
        <v> </v>
      </c>
      <c r="E10" s="21" t="str">
        <f>IF(C10="","",MIN(C10,0))</f>
        <v> </v>
      </c>
      <c r="H10" s="23" t="str">
        <f>IF('Bets'!C7="","",IF(COUNTIF('Bets'!$C$2:C7,'Bets'!C7)=1,MAX($H$4:H9)+1,""))</f>
        <v> </v>
      </c>
    </row>
    <row r="11" spans="1:8">
      <c r="A11" s="22" t="str">
        <f>IFERROR(INDEX('Bets'!$C$2:$C$1000,MATCH(7,$H$5:$H$1003,0)),"")</f>
        <v> </v>
      </c>
      <c r="B11" s="22" t="str">
        <f>IF($A11="","",COUNTIFS('Bets'!$C$2:$C$1000,$A11,'Bets'!$K$2:$K$1000,"&lt;&gt;",'Bets'!$K$2:$K$1000,"&lt;&gt;Pending",'Bets'!$K$2:$K$1000,"&lt;&gt;Void"))</f>
        <v> </v>
      </c>
      <c r="C11" s="20" t="str">
        <f>IF($A11="","",SUMIFS('Bets'!$M$2:$M$1000,'Bets'!$C$2:$C$1000,$A11))</f>
        <v> </v>
      </c>
      <c r="D11" s="21" t="str">
        <f>IF(C11="","",MAX(C11,0))</f>
        <v> </v>
      </c>
      <c r="E11" s="21" t="str">
        <f>IF(C11="","",MIN(C11,0))</f>
        <v> </v>
      </c>
      <c r="H11" s="23" t="str">
        <f>IF('Bets'!C8="","",IF(COUNTIF('Bets'!$C$2:C8,'Bets'!C8)=1,MAX($H$4:H10)+1,""))</f>
        <v> </v>
      </c>
    </row>
    <row r="12" spans="1:8">
      <c r="A12" s="22" t="str">
        <f>IFERROR(INDEX('Bets'!$C$2:$C$1000,MATCH(8,$H$5:$H$1003,0)),"")</f>
        <v> </v>
      </c>
      <c r="B12" s="22" t="str">
        <f>IF($A12="","",COUNTIFS('Bets'!$C$2:$C$1000,$A12,'Bets'!$K$2:$K$1000,"&lt;&gt;",'Bets'!$K$2:$K$1000,"&lt;&gt;Pending",'Bets'!$K$2:$K$1000,"&lt;&gt;Void"))</f>
        <v> </v>
      </c>
      <c r="C12" s="20" t="str">
        <f>IF($A12="","",SUMIFS('Bets'!$M$2:$M$1000,'Bets'!$C$2:$C$1000,$A12))</f>
        <v> </v>
      </c>
      <c r="D12" s="21" t="str">
        <f>IF(C12="","",MAX(C12,0))</f>
        <v> </v>
      </c>
      <c r="E12" s="21" t="str">
        <f>IF(C12="","",MIN(C12,0))</f>
        <v> </v>
      </c>
      <c r="H12" s="23" t="str">
        <f>IF('Bets'!C9="","",IF(COUNTIF('Bets'!$C$2:C9,'Bets'!C9)=1,MAX($H$4:H11)+1,""))</f>
        <v> </v>
      </c>
    </row>
    <row r="13" spans="1:8">
      <c r="A13" s="22" t="str">
        <f>IFERROR(INDEX('Bets'!$C$2:$C$1000,MATCH(9,$H$5:$H$1003,0)),"")</f>
        <v> </v>
      </c>
      <c r="B13" s="22" t="str">
        <f>IF($A13="","",COUNTIFS('Bets'!$C$2:$C$1000,$A13,'Bets'!$K$2:$K$1000,"&lt;&gt;",'Bets'!$K$2:$K$1000,"&lt;&gt;Pending",'Bets'!$K$2:$K$1000,"&lt;&gt;Void"))</f>
        <v> </v>
      </c>
      <c r="C13" s="20" t="str">
        <f>IF($A13="","",SUMIFS('Bets'!$M$2:$M$1000,'Bets'!$C$2:$C$1000,$A13))</f>
        <v> </v>
      </c>
      <c r="D13" s="21" t="str">
        <f>IF(C13="","",MAX(C13,0))</f>
        <v> </v>
      </c>
      <c r="E13" s="21" t="str">
        <f>IF(C13="","",MIN(C13,0))</f>
        <v> </v>
      </c>
      <c r="H13" s="23" t="str">
        <f>IF('Bets'!C10="","",IF(COUNTIF('Bets'!$C$2:C10,'Bets'!C10)=1,MAX($H$4:H12)+1,""))</f>
        <v> </v>
      </c>
    </row>
    <row r="14" spans="1:8">
      <c r="A14" s="22" t="str">
        <f>IFERROR(INDEX('Bets'!$C$2:$C$1000,MATCH(10,$H$5:$H$1003,0)),"")</f>
        <v> </v>
      </c>
      <c r="B14" s="22" t="str">
        <f>IF($A14="","",COUNTIFS('Bets'!$C$2:$C$1000,$A14,'Bets'!$K$2:$K$1000,"&lt;&gt;",'Bets'!$K$2:$K$1000,"&lt;&gt;Pending",'Bets'!$K$2:$K$1000,"&lt;&gt;Void"))</f>
        <v> </v>
      </c>
      <c r="C14" s="20" t="str">
        <f>IF($A14="","",SUMIFS('Bets'!$M$2:$M$1000,'Bets'!$C$2:$C$1000,$A14))</f>
        <v> </v>
      </c>
      <c r="D14" s="21" t="str">
        <f>IF(C14="","",MAX(C14,0))</f>
        <v> </v>
      </c>
      <c r="E14" s="21" t="str">
        <f>IF(C14="","",MIN(C14,0))</f>
        <v> </v>
      </c>
      <c r="H14" s="23" t="str">
        <f>IF('Bets'!C11="","",IF(COUNTIF('Bets'!$C$2:C11,'Bets'!C11)=1,MAX($H$4:H13)+1,""))</f>
        <v> </v>
      </c>
    </row>
    <row r="15" spans="1:8">
      <c r="A15" s="22" t="str">
        <f>IFERROR(INDEX('Bets'!$C$2:$C$1000,MATCH(11,$H$5:$H$1003,0)),"")</f>
        <v> </v>
      </c>
      <c r="B15" s="22" t="str">
        <f>IF($A15="","",COUNTIFS('Bets'!$C$2:$C$1000,$A15,'Bets'!$K$2:$K$1000,"&lt;&gt;",'Bets'!$K$2:$K$1000,"&lt;&gt;Pending",'Bets'!$K$2:$K$1000,"&lt;&gt;Void"))</f>
        <v> </v>
      </c>
      <c r="C15" s="20" t="str">
        <f>IF($A15="","",SUMIFS('Bets'!$M$2:$M$1000,'Bets'!$C$2:$C$1000,$A15))</f>
        <v> </v>
      </c>
      <c r="D15" s="21" t="str">
        <f>IF(C15="","",MAX(C15,0))</f>
        <v> </v>
      </c>
      <c r="E15" s="21" t="str">
        <f>IF(C15="","",MIN(C15,0))</f>
        <v> </v>
      </c>
      <c r="H15" s="23" t="str">
        <f>IF('Bets'!C12="","",IF(COUNTIF('Bets'!$C$2:C12,'Bets'!C12)=1,MAX($H$4:H14)+1,""))</f>
        <v> </v>
      </c>
    </row>
    <row r="16" spans="1:8">
      <c r="A16" s="22" t="str">
        <f>IFERROR(INDEX('Bets'!$C$2:$C$1000,MATCH(12,$H$5:$H$1003,0)),"")</f>
        <v> </v>
      </c>
      <c r="B16" s="22" t="str">
        <f>IF($A16="","",COUNTIFS('Bets'!$C$2:$C$1000,$A16,'Bets'!$K$2:$K$1000,"&lt;&gt;",'Bets'!$K$2:$K$1000,"&lt;&gt;Pending",'Bets'!$K$2:$K$1000,"&lt;&gt;Void"))</f>
        <v> </v>
      </c>
      <c r="C16" s="20" t="str">
        <f>IF($A16="","",SUMIFS('Bets'!$M$2:$M$1000,'Bets'!$C$2:$C$1000,$A16))</f>
        <v> </v>
      </c>
      <c r="D16" s="21" t="str">
        <f>IF(C16="","",MAX(C16,0))</f>
        <v> </v>
      </c>
      <c r="E16" s="21" t="str">
        <f>IF(C16="","",MIN(C16,0))</f>
        <v> </v>
      </c>
      <c r="H16" s="23" t="str">
        <f>IF('Bets'!C13="","",IF(COUNTIF('Bets'!$C$2:C13,'Bets'!C13)=1,MAX($H$4:H15)+1,""))</f>
        <v> </v>
      </c>
    </row>
    <row r="17" spans="8:8">
      <c r="H17" s="23" t="str">
        <f>IF('Bets'!C14="","",IF(COUNTIF('Bets'!$C$2:C14,'Bets'!C14)=1,MAX($H$4:H16)+1,""))</f>
        <v> </v>
      </c>
    </row>
    <row r="18" spans="8:8">
      <c r="H18" s="23" t="str">
        <f>IF('Bets'!C15="","",IF(COUNTIF('Bets'!$C$2:C15,'Bets'!C15)=1,MAX($H$4:H17)+1,""))</f>
        <v> </v>
      </c>
    </row>
    <row r="19" spans="8:8">
      <c r="H19" s="23" t="str">
        <f>IF('Bets'!C16="","",IF(COUNTIF('Bets'!$C$2:C16,'Bets'!C16)=1,MAX($H$4:H18)+1,""))</f>
        <v> </v>
      </c>
    </row>
    <row r="20" spans="8:8">
      <c r="H20" s="23" t="str">
        <f>IF('Bets'!C17="","",IF(COUNTIF('Bets'!$C$2:C17,'Bets'!C17)=1,MAX($H$4:H19)+1,""))</f>
        <v> </v>
      </c>
    </row>
    <row r="21" spans="8:8">
      <c r="H21" s="23" t="str">
        <f>IF('Bets'!C18="","",IF(COUNTIF('Bets'!$C$2:C18,'Bets'!C18)=1,MAX($H$4:H20)+1,""))</f>
        <v> </v>
      </c>
    </row>
    <row r="22" spans="8:8">
      <c r="H22" s="23" t="str">
        <f>IF('Bets'!C19="","",IF(COUNTIF('Bets'!$C$2:C19,'Bets'!C19)=1,MAX($H$4:H21)+1,""))</f>
        <v> </v>
      </c>
    </row>
    <row r="23" spans="8:8">
      <c r="H23" s="23" t="str">
        <f>IF('Bets'!C20="","",IF(COUNTIF('Bets'!$C$2:C20,'Bets'!C20)=1,MAX($H$4:H22)+1,""))</f>
        <v> </v>
      </c>
    </row>
    <row r="24" spans="8:8">
      <c r="H24" s="23" t="str">
        <f>IF('Bets'!C21="","",IF(COUNTIF('Bets'!$C$2:C21,'Bets'!C21)=1,MAX($H$4:H23)+1,""))</f>
        <v> </v>
      </c>
    </row>
    <row r="25" spans="8:8">
      <c r="H25" s="23" t="str">
        <f>IF('Bets'!C22="","",IF(COUNTIF('Bets'!$C$2:C22,'Bets'!C22)=1,MAX($H$4:H24)+1,""))</f>
        <v> </v>
      </c>
    </row>
    <row r="26" spans="8:8">
      <c r="H26" s="23" t="str">
        <f>IF('Bets'!C23="","",IF(COUNTIF('Bets'!$C$2:C23,'Bets'!C23)=1,MAX($H$4:H25)+1,""))</f>
        <v> </v>
      </c>
    </row>
    <row r="27" spans="8:8">
      <c r="H27" s="23" t="str">
        <f>IF('Bets'!C24="","",IF(COUNTIF('Bets'!$C$2:C24,'Bets'!C24)=1,MAX($H$4:H26)+1,""))</f>
        <v> </v>
      </c>
    </row>
    <row r="28" spans="8:8">
      <c r="H28" s="23" t="str">
        <f>IF('Bets'!C25="","",IF(COUNTIF('Bets'!$C$2:C25,'Bets'!C25)=1,MAX($H$4:H27)+1,""))</f>
        <v> </v>
      </c>
    </row>
    <row r="29" spans="8:8">
      <c r="H29" s="23" t="str">
        <f>IF('Bets'!C26="","",IF(COUNTIF('Bets'!$C$2:C26,'Bets'!C26)=1,MAX($H$4:H28)+1,""))</f>
        <v> </v>
      </c>
    </row>
    <row r="30" spans="8:8">
      <c r="H30" s="23" t="str">
        <f>IF('Bets'!C27="","",IF(COUNTIF('Bets'!$C$2:C27,'Bets'!C27)=1,MAX($H$4:H29)+1,""))</f>
        <v> </v>
      </c>
    </row>
    <row r="31" spans="8:8">
      <c r="H31" s="23" t="str">
        <f>IF('Bets'!C28="","",IF(COUNTIF('Bets'!$C$2:C28,'Bets'!C28)=1,MAX($H$4:H30)+1,""))</f>
        <v> </v>
      </c>
    </row>
    <row r="32" spans="8:8">
      <c r="H32" s="23" t="str">
        <f>IF('Bets'!C29="","",IF(COUNTIF('Bets'!$C$2:C29,'Bets'!C29)=1,MAX($H$4:H31)+1,""))</f>
        <v> </v>
      </c>
    </row>
    <row r="33" spans="8:8">
      <c r="H33" s="23" t="str">
        <f>IF('Bets'!C30="","",IF(COUNTIF('Bets'!$C$2:C30,'Bets'!C30)=1,MAX($H$4:H32)+1,""))</f>
        <v> </v>
      </c>
    </row>
    <row r="34" spans="8:8">
      <c r="H34" s="23" t="str">
        <f>IF('Bets'!C31="","",IF(COUNTIF('Bets'!$C$2:C31,'Bets'!C31)=1,MAX($H$4:H33)+1,""))</f>
        <v> </v>
      </c>
    </row>
    <row r="35" spans="8:8">
      <c r="H35" s="23" t="str">
        <f>IF('Bets'!C32="","",IF(COUNTIF('Bets'!$C$2:C32,'Bets'!C32)=1,MAX($H$4:H34)+1,""))</f>
        <v> </v>
      </c>
    </row>
    <row r="36" spans="8:8">
      <c r="H36" s="23" t="str">
        <f>IF('Bets'!C33="","",IF(COUNTIF('Bets'!$C$2:C33,'Bets'!C33)=1,MAX($H$4:H35)+1,""))</f>
        <v> </v>
      </c>
    </row>
    <row r="37" spans="8:8">
      <c r="H37" s="23" t="str">
        <f>IF('Bets'!C34="","",IF(COUNTIF('Bets'!$C$2:C34,'Bets'!C34)=1,MAX($H$4:H36)+1,""))</f>
        <v> </v>
      </c>
    </row>
    <row r="38" spans="8:8">
      <c r="H38" s="23" t="str">
        <f>IF('Bets'!C35="","",IF(COUNTIF('Bets'!$C$2:C35,'Bets'!C35)=1,MAX($H$4:H37)+1,""))</f>
        <v> </v>
      </c>
    </row>
    <row r="39" spans="8:8">
      <c r="H39" s="23" t="str">
        <f>IF('Bets'!C36="","",IF(COUNTIF('Bets'!$C$2:C36,'Bets'!C36)=1,MAX($H$4:H38)+1,""))</f>
        <v> </v>
      </c>
    </row>
    <row r="40" spans="8:8">
      <c r="H40" s="23" t="str">
        <f>IF('Bets'!C37="","",IF(COUNTIF('Bets'!$C$2:C37,'Bets'!C37)=1,MAX($H$4:H39)+1,""))</f>
        <v> </v>
      </c>
    </row>
    <row r="41" spans="8:8">
      <c r="H41" s="23" t="str">
        <f>IF('Bets'!C38="","",IF(COUNTIF('Bets'!$C$2:C38,'Bets'!C38)=1,MAX($H$4:H40)+1,""))</f>
        <v> </v>
      </c>
    </row>
    <row r="42" spans="8:8">
      <c r="H42" s="23" t="str">
        <f>IF('Bets'!C39="","",IF(COUNTIF('Bets'!$C$2:C39,'Bets'!C39)=1,MAX($H$4:H41)+1,""))</f>
        <v> </v>
      </c>
    </row>
    <row r="43" spans="8:8">
      <c r="H43" s="23" t="str">
        <f>IF('Bets'!C40="","",IF(COUNTIF('Bets'!$C$2:C40,'Bets'!C40)=1,MAX($H$4:H42)+1,""))</f>
        <v> </v>
      </c>
    </row>
    <row r="44" spans="8:8">
      <c r="H44" s="23" t="str">
        <f>IF('Bets'!C41="","",IF(COUNTIF('Bets'!$C$2:C41,'Bets'!C41)=1,MAX($H$4:H43)+1,""))</f>
        <v> </v>
      </c>
    </row>
    <row r="45" spans="8:8">
      <c r="H45" s="23" t="str">
        <f>IF('Bets'!C42="","",IF(COUNTIF('Bets'!$C$2:C42,'Bets'!C42)=1,MAX($H$4:H44)+1,""))</f>
        <v> </v>
      </c>
    </row>
    <row r="46" spans="8:8">
      <c r="H46" s="23" t="str">
        <f>IF('Bets'!C43="","",IF(COUNTIF('Bets'!$C$2:C43,'Bets'!C43)=1,MAX($H$4:H45)+1,""))</f>
        <v> </v>
      </c>
    </row>
    <row r="47" spans="8:8">
      <c r="H47" s="23" t="str">
        <f>IF('Bets'!C44="","",IF(COUNTIF('Bets'!$C$2:C44,'Bets'!C44)=1,MAX($H$4:H46)+1,""))</f>
        <v> </v>
      </c>
    </row>
    <row r="48" spans="8:8">
      <c r="H48" s="23" t="str">
        <f>IF('Bets'!C45="","",IF(COUNTIF('Bets'!$C$2:C45,'Bets'!C45)=1,MAX($H$4:H47)+1,""))</f>
        <v> </v>
      </c>
    </row>
    <row r="49" spans="8:8">
      <c r="H49" s="23" t="str">
        <f>IF('Bets'!C46="","",IF(COUNTIF('Bets'!$C$2:C46,'Bets'!C46)=1,MAX($H$4:H48)+1,""))</f>
        <v> </v>
      </c>
    </row>
    <row r="50" spans="8:8">
      <c r="H50" s="23" t="str">
        <f>IF('Bets'!C47="","",IF(COUNTIF('Bets'!$C$2:C47,'Bets'!C47)=1,MAX($H$4:H49)+1,""))</f>
        <v> </v>
      </c>
    </row>
    <row r="51" spans="8:8">
      <c r="H51" s="23" t="str">
        <f>IF('Bets'!C48="","",IF(COUNTIF('Bets'!$C$2:C48,'Bets'!C48)=1,MAX($H$4:H50)+1,""))</f>
        <v> </v>
      </c>
    </row>
    <row r="52" spans="8:8">
      <c r="H52" s="23" t="str">
        <f>IF('Bets'!C49="","",IF(COUNTIF('Bets'!$C$2:C49,'Bets'!C49)=1,MAX($H$4:H51)+1,""))</f>
        <v> </v>
      </c>
    </row>
    <row r="53" spans="8:8">
      <c r="H53" s="23" t="str">
        <f>IF('Bets'!C50="","",IF(COUNTIF('Bets'!$C$2:C50,'Bets'!C50)=1,MAX($H$4:H52)+1,""))</f>
        <v> </v>
      </c>
    </row>
    <row r="54" spans="8:8">
      <c r="H54" s="23" t="str">
        <f>IF('Bets'!C51="","",IF(COUNTIF('Bets'!$C$2:C51,'Bets'!C51)=1,MAX($H$4:H53)+1,""))</f>
        <v> </v>
      </c>
    </row>
    <row r="55" spans="8:8">
      <c r="H55" s="23" t="str">
        <f>IF('Bets'!C52="","",IF(COUNTIF('Bets'!$C$2:C52,'Bets'!C52)=1,MAX($H$4:H54)+1,""))</f>
        <v> </v>
      </c>
    </row>
    <row r="56" spans="8:8">
      <c r="H56" s="23" t="str">
        <f>IF('Bets'!C53="","",IF(COUNTIF('Bets'!$C$2:C53,'Bets'!C53)=1,MAX($H$4:H55)+1,""))</f>
        <v> </v>
      </c>
    </row>
    <row r="57" spans="8:8">
      <c r="H57" s="23" t="str">
        <f>IF('Bets'!C54="","",IF(COUNTIF('Bets'!$C$2:C54,'Bets'!C54)=1,MAX($H$4:H56)+1,""))</f>
        <v> </v>
      </c>
    </row>
    <row r="58" spans="8:8">
      <c r="H58" s="23" t="str">
        <f>IF('Bets'!C55="","",IF(COUNTIF('Bets'!$C$2:C55,'Bets'!C55)=1,MAX($H$4:H57)+1,""))</f>
        <v> </v>
      </c>
    </row>
    <row r="59" spans="8:8">
      <c r="H59" s="23" t="str">
        <f>IF('Bets'!C56="","",IF(COUNTIF('Bets'!$C$2:C56,'Bets'!C56)=1,MAX($H$4:H58)+1,""))</f>
        <v> </v>
      </c>
    </row>
    <row r="60" spans="8:8">
      <c r="H60" s="23" t="str">
        <f>IF('Bets'!C57="","",IF(COUNTIF('Bets'!$C$2:C57,'Bets'!C57)=1,MAX($H$4:H59)+1,""))</f>
        <v> </v>
      </c>
    </row>
    <row r="61" spans="8:8">
      <c r="H61" s="23" t="str">
        <f>IF('Bets'!C58="","",IF(COUNTIF('Bets'!$C$2:C58,'Bets'!C58)=1,MAX($H$4:H60)+1,""))</f>
        <v> </v>
      </c>
    </row>
    <row r="62" spans="8:8">
      <c r="H62" s="23" t="str">
        <f>IF('Bets'!C59="","",IF(COUNTIF('Bets'!$C$2:C59,'Bets'!C59)=1,MAX($H$4:H61)+1,""))</f>
        <v> </v>
      </c>
    </row>
    <row r="63" spans="8:8">
      <c r="H63" s="23" t="str">
        <f>IF('Bets'!C60="","",IF(COUNTIF('Bets'!$C$2:C60,'Bets'!C60)=1,MAX($H$4:H62)+1,""))</f>
        <v> </v>
      </c>
    </row>
    <row r="64" spans="8:8">
      <c r="H64" s="23" t="str">
        <f>IF('Bets'!C61="","",IF(COUNTIF('Bets'!$C$2:C61,'Bets'!C61)=1,MAX($H$4:H63)+1,""))</f>
        <v> </v>
      </c>
    </row>
    <row r="65" spans="8:8">
      <c r="H65" s="23" t="str">
        <f>IF('Bets'!C62="","",IF(COUNTIF('Bets'!$C$2:C62,'Bets'!C62)=1,MAX($H$4:H64)+1,""))</f>
        <v> </v>
      </c>
    </row>
    <row r="66" spans="8:8">
      <c r="H66" s="23" t="str">
        <f>IF('Bets'!C63="","",IF(COUNTIF('Bets'!$C$2:C63,'Bets'!C63)=1,MAX($H$4:H65)+1,""))</f>
        <v> </v>
      </c>
    </row>
    <row r="67" spans="8:8">
      <c r="H67" s="23" t="str">
        <f>IF('Bets'!C64="","",IF(COUNTIF('Bets'!$C$2:C64,'Bets'!C64)=1,MAX($H$4:H66)+1,""))</f>
        <v> </v>
      </c>
    </row>
    <row r="68" spans="8:8">
      <c r="H68" s="23" t="str">
        <f>IF('Bets'!C65="","",IF(COUNTIF('Bets'!$C$2:C65,'Bets'!C65)=1,MAX($H$4:H67)+1,""))</f>
        <v> </v>
      </c>
    </row>
    <row r="69" spans="8:8">
      <c r="H69" s="23" t="str">
        <f>IF('Bets'!C66="","",IF(COUNTIF('Bets'!$C$2:C66,'Bets'!C66)=1,MAX($H$4:H68)+1,""))</f>
        <v> </v>
      </c>
    </row>
    <row r="70" spans="8:8">
      <c r="H70" s="23" t="str">
        <f>IF('Bets'!C67="","",IF(COUNTIF('Bets'!$C$2:C67,'Bets'!C67)=1,MAX($H$4:H69)+1,""))</f>
        <v> </v>
      </c>
    </row>
    <row r="71" spans="8:8">
      <c r="H71" s="23" t="str">
        <f>IF('Bets'!C68="","",IF(COUNTIF('Bets'!$C$2:C68,'Bets'!C68)=1,MAX($H$4:H70)+1,""))</f>
        <v> </v>
      </c>
    </row>
    <row r="72" spans="8:8">
      <c r="H72" s="23" t="str">
        <f>IF('Bets'!C69="","",IF(COUNTIF('Bets'!$C$2:C69,'Bets'!C69)=1,MAX($H$4:H71)+1,""))</f>
        <v> </v>
      </c>
    </row>
    <row r="73" spans="8:8">
      <c r="H73" s="23" t="str">
        <f>IF('Bets'!C70="","",IF(COUNTIF('Bets'!$C$2:C70,'Bets'!C70)=1,MAX($H$4:H72)+1,""))</f>
        <v> </v>
      </c>
    </row>
    <row r="74" spans="8:8">
      <c r="H74" s="23" t="str">
        <f>IF('Bets'!C71="","",IF(COUNTIF('Bets'!$C$2:C71,'Bets'!C71)=1,MAX($H$4:H73)+1,""))</f>
        <v> </v>
      </c>
    </row>
    <row r="75" spans="8:8">
      <c r="H75" s="23" t="str">
        <f>IF('Bets'!C72="","",IF(COUNTIF('Bets'!$C$2:C72,'Bets'!C72)=1,MAX($H$4:H74)+1,""))</f>
        <v> </v>
      </c>
    </row>
    <row r="76" spans="8:8">
      <c r="H76" s="23" t="str">
        <f>IF('Bets'!C73="","",IF(COUNTIF('Bets'!$C$2:C73,'Bets'!C73)=1,MAX($H$4:H75)+1,""))</f>
        <v> </v>
      </c>
    </row>
    <row r="77" spans="8:8">
      <c r="H77" s="23" t="str">
        <f>IF('Bets'!C74="","",IF(COUNTIF('Bets'!$C$2:C74,'Bets'!C74)=1,MAX($H$4:H76)+1,""))</f>
        <v> </v>
      </c>
    </row>
    <row r="78" spans="8:8">
      <c r="H78" s="23" t="str">
        <f>IF('Bets'!C75="","",IF(COUNTIF('Bets'!$C$2:C75,'Bets'!C75)=1,MAX($H$4:H77)+1,""))</f>
        <v> </v>
      </c>
    </row>
    <row r="79" spans="8:8">
      <c r="H79" s="23" t="str">
        <f>IF('Bets'!C76="","",IF(COUNTIF('Bets'!$C$2:C76,'Bets'!C76)=1,MAX($H$4:H78)+1,""))</f>
        <v> </v>
      </c>
    </row>
    <row r="80" spans="8:8">
      <c r="H80" s="23" t="str">
        <f>IF('Bets'!C77="","",IF(COUNTIF('Bets'!$C$2:C77,'Bets'!C77)=1,MAX($H$4:H79)+1,""))</f>
        <v> </v>
      </c>
    </row>
    <row r="81" spans="8:8">
      <c r="H81" s="23" t="str">
        <f>IF('Bets'!C78="","",IF(COUNTIF('Bets'!$C$2:C78,'Bets'!C78)=1,MAX($H$4:H80)+1,""))</f>
        <v> </v>
      </c>
    </row>
    <row r="82" spans="8:8">
      <c r="H82" s="23" t="str">
        <f>IF('Bets'!C79="","",IF(COUNTIF('Bets'!$C$2:C79,'Bets'!C79)=1,MAX($H$4:H81)+1,""))</f>
        <v> </v>
      </c>
    </row>
    <row r="83" spans="8:8">
      <c r="H83" s="23" t="str">
        <f>IF('Bets'!C80="","",IF(COUNTIF('Bets'!$C$2:C80,'Bets'!C80)=1,MAX($H$4:H82)+1,""))</f>
        <v> </v>
      </c>
    </row>
    <row r="84" spans="8:8">
      <c r="H84" s="23" t="str">
        <f>IF('Bets'!C81="","",IF(COUNTIF('Bets'!$C$2:C81,'Bets'!C81)=1,MAX($H$4:H83)+1,""))</f>
        <v> </v>
      </c>
    </row>
    <row r="85" spans="8:8">
      <c r="H85" s="23" t="str">
        <f>IF('Bets'!C82="","",IF(COUNTIF('Bets'!$C$2:C82,'Bets'!C82)=1,MAX($H$4:H84)+1,""))</f>
        <v> </v>
      </c>
    </row>
    <row r="86" spans="8:8">
      <c r="H86" s="23" t="str">
        <f>IF('Bets'!C83="","",IF(COUNTIF('Bets'!$C$2:C83,'Bets'!C83)=1,MAX($H$4:H85)+1,""))</f>
        <v> </v>
      </c>
    </row>
    <row r="87" spans="8:8">
      <c r="H87" s="23" t="str">
        <f>IF('Bets'!C84="","",IF(COUNTIF('Bets'!$C$2:C84,'Bets'!C84)=1,MAX($H$4:H86)+1,""))</f>
        <v> </v>
      </c>
    </row>
    <row r="88" spans="8:8">
      <c r="H88" s="23" t="str">
        <f>IF('Bets'!C85="","",IF(COUNTIF('Bets'!$C$2:C85,'Bets'!C85)=1,MAX($H$4:H87)+1,""))</f>
        <v> </v>
      </c>
    </row>
    <row r="89" spans="8:8">
      <c r="H89" s="23" t="str">
        <f>IF('Bets'!C86="","",IF(COUNTIF('Bets'!$C$2:C86,'Bets'!C86)=1,MAX($H$4:H88)+1,""))</f>
        <v> </v>
      </c>
    </row>
    <row r="90" spans="8:8">
      <c r="H90" s="23" t="str">
        <f>IF('Bets'!C87="","",IF(COUNTIF('Bets'!$C$2:C87,'Bets'!C87)=1,MAX($H$4:H89)+1,""))</f>
        <v> </v>
      </c>
    </row>
    <row r="91" spans="8:8">
      <c r="H91" s="23" t="str">
        <f>IF('Bets'!C88="","",IF(COUNTIF('Bets'!$C$2:C88,'Bets'!C88)=1,MAX($H$4:H90)+1,""))</f>
        <v> </v>
      </c>
    </row>
    <row r="92" spans="8:8">
      <c r="H92" s="23" t="str">
        <f>IF('Bets'!C89="","",IF(COUNTIF('Bets'!$C$2:C89,'Bets'!C89)=1,MAX($H$4:H91)+1,""))</f>
        <v> </v>
      </c>
    </row>
    <row r="93" spans="8:8">
      <c r="H93" s="23" t="str">
        <f>IF('Bets'!C90="","",IF(COUNTIF('Bets'!$C$2:C90,'Bets'!C90)=1,MAX($H$4:H92)+1,""))</f>
        <v> </v>
      </c>
    </row>
    <row r="94" spans="8:8">
      <c r="H94" s="23" t="str">
        <f>IF('Bets'!C91="","",IF(COUNTIF('Bets'!$C$2:C91,'Bets'!C91)=1,MAX($H$4:H93)+1,""))</f>
        <v> </v>
      </c>
    </row>
    <row r="95" spans="8:8">
      <c r="H95" s="23" t="str">
        <f>IF('Bets'!C92="","",IF(COUNTIF('Bets'!$C$2:C92,'Bets'!C92)=1,MAX($H$4:H94)+1,""))</f>
        <v> </v>
      </c>
    </row>
    <row r="96" spans="8:8">
      <c r="H96" s="23" t="str">
        <f>IF('Bets'!C93="","",IF(COUNTIF('Bets'!$C$2:C93,'Bets'!C93)=1,MAX($H$4:H95)+1,""))</f>
        <v> </v>
      </c>
    </row>
    <row r="97" spans="8:8">
      <c r="H97" s="23" t="str">
        <f>IF('Bets'!C94="","",IF(COUNTIF('Bets'!$C$2:C94,'Bets'!C94)=1,MAX($H$4:H96)+1,""))</f>
        <v> </v>
      </c>
    </row>
    <row r="98" spans="8:8">
      <c r="H98" s="23" t="str">
        <f>IF('Bets'!C95="","",IF(COUNTIF('Bets'!$C$2:C95,'Bets'!C95)=1,MAX($H$4:H97)+1,""))</f>
        <v> </v>
      </c>
    </row>
    <row r="99" spans="8:8">
      <c r="H99" s="23" t="str">
        <f>IF('Bets'!C96="","",IF(COUNTIF('Bets'!$C$2:C96,'Bets'!C96)=1,MAX($H$4:H98)+1,""))</f>
        <v> </v>
      </c>
    </row>
    <row r="100" spans="8:8">
      <c r="H100" s="23" t="str">
        <f>IF('Bets'!C97="","",IF(COUNTIF('Bets'!$C$2:C97,'Bets'!C97)=1,MAX($H$4:H99)+1,""))</f>
        <v> </v>
      </c>
    </row>
    <row r="101" spans="8:8">
      <c r="H101" s="23" t="str">
        <f>IF('Bets'!C98="","",IF(COUNTIF('Bets'!$C$2:C98,'Bets'!C98)=1,MAX($H$4:H100)+1,""))</f>
        <v> </v>
      </c>
    </row>
    <row r="102" spans="8:8">
      <c r="H102" s="23" t="str">
        <f>IF('Bets'!C99="","",IF(COUNTIF('Bets'!$C$2:C99,'Bets'!C99)=1,MAX($H$4:H101)+1,""))</f>
        <v> </v>
      </c>
    </row>
    <row r="103" spans="8:8">
      <c r="H103" s="23" t="str">
        <f>IF('Bets'!C100="","",IF(COUNTIF('Bets'!$C$2:C100,'Bets'!C100)=1,MAX($H$4:H102)+1,""))</f>
        <v> </v>
      </c>
    </row>
    <row r="104" spans="8:8">
      <c r="H104" s="23" t="str">
        <f>IF('Bets'!C101="","",IF(COUNTIF('Bets'!$C$2:C101,'Bets'!C101)=1,MAX($H$4:H103)+1,""))</f>
        <v> </v>
      </c>
    </row>
    <row r="105" spans="8:8">
      <c r="H105" s="23" t="str">
        <f>IF('Bets'!C102="","",IF(COUNTIF('Bets'!$C$2:C102,'Bets'!C102)=1,MAX($H$4:H104)+1,""))</f>
        <v> </v>
      </c>
    </row>
    <row r="106" spans="8:8">
      <c r="H106" s="23" t="str">
        <f>IF('Bets'!C103="","",IF(COUNTIF('Bets'!$C$2:C103,'Bets'!C103)=1,MAX($H$4:H105)+1,""))</f>
        <v> </v>
      </c>
    </row>
    <row r="107" spans="8:8">
      <c r="H107" s="23" t="str">
        <f>IF('Bets'!C104="","",IF(COUNTIF('Bets'!$C$2:C104,'Bets'!C104)=1,MAX($H$4:H106)+1,""))</f>
        <v> </v>
      </c>
    </row>
    <row r="108" spans="8:8">
      <c r="H108" s="23" t="str">
        <f>IF('Bets'!C105="","",IF(COUNTIF('Bets'!$C$2:C105,'Bets'!C105)=1,MAX($H$4:H107)+1,""))</f>
        <v> </v>
      </c>
    </row>
    <row r="109" spans="8:8">
      <c r="H109" s="23" t="str">
        <f>IF('Bets'!C106="","",IF(COUNTIF('Bets'!$C$2:C106,'Bets'!C106)=1,MAX($H$4:H108)+1,""))</f>
        <v> </v>
      </c>
    </row>
    <row r="110" spans="8:8">
      <c r="H110" s="23" t="str">
        <f>IF('Bets'!C107="","",IF(COUNTIF('Bets'!$C$2:C107,'Bets'!C107)=1,MAX($H$4:H109)+1,""))</f>
        <v> </v>
      </c>
    </row>
    <row r="111" spans="8:8">
      <c r="H111" s="23" t="str">
        <f>IF('Bets'!C108="","",IF(COUNTIF('Bets'!$C$2:C108,'Bets'!C108)=1,MAX($H$4:H110)+1,""))</f>
        <v> </v>
      </c>
    </row>
    <row r="112" spans="8:8">
      <c r="H112" s="23" t="str">
        <f>IF('Bets'!C109="","",IF(COUNTIF('Bets'!$C$2:C109,'Bets'!C109)=1,MAX($H$4:H111)+1,""))</f>
        <v> </v>
      </c>
    </row>
    <row r="113" spans="8:8">
      <c r="H113" s="23" t="str">
        <f>IF('Bets'!C110="","",IF(COUNTIF('Bets'!$C$2:C110,'Bets'!C110)=1,MAX($H$4:H112)+1,""))</f>
        <v> </v>
      </c>
    </row>
    <row r="114" spans="8:8">
      <c r="H114" s="23" t="str">
        <f>IF('Bets'!C111="","",IF(COUNTIF('Bets'!$C$2:C111,'Bets'!C111)=1,MAX($H$4:H113)+1,""))</f>
        <v> </v>
      </c>
    </row>
    <row r="115" spans="8:8">
      <c r="H115" s="23" t="str">
        <f>IF('Bets'!C112="","",IF(COUNTIF('Bets'!$C$2:C112,'Bets'!C112)=1,MAX($H$4:H114)+1,""))</f>
        <v> </v>
      </c>
    </row>
    <row r="116" spans="8:8">
      <c r="H116" s="23" t="str">
        <f>IF('Bets'!C113="","",IF(COUNTIF('Bets'!$C$2:C113,'Bets'!C113)=1,MAX($H$4:H115)+1,""))</f>
        <v> </v>
      </c>
    </row>
    <row r="117" spans="8:8">
      <c r="H117" s="23" t="str">
        <f>IF('Bets'!C114="","",IF(COUNTIF('Bets'!$C$2:C114,'Bets'!C114)=1,MAX($H$4:H116)+1,""))</f>
        <v> </v>
      </c>
    </row>
    <row r="118" spans="8:8">
      <c r="H118" s="23" t="str">
        <f>IF('Bets'!C115="","",IF(COUNTIF('Bets'!$C$2:C115,'Bets'!C115)=1,MAX($H$4:H117)+1,""))</f>
        <v> </v>
      </c>
    </row>
    <row r="119" spans="8:8">
      <c r="H119" s="23" t="str">
        <f>IF('Bets'!C116="","",IF(COUNTIF('Bets'!$C$2:C116,'Bets'!C116)=1,MAX($H$4:H118)+1,""))</f>
        <v> </v>
      </c>
    </row>
    <row r="120" spans="8:8">
      <c r="H120" s="23" t="str">
        <f>IF('Bets'!C117="","",IF(COUNTIF('Bets'!$C$2:C117,'Bets'!C117)=1,MAX($H$4:H119)+1,""))</f>
        <v> </v>
      </c>
    </row>
    <row r="121" spans="8:8">
      <c r="H121" s="23" t="str">
        <f>IF('Bets'!C118="","",IF(COUNTIF('Bets'!$C$2:C118,'Bets'!C118)=1,MAX($H$4:H120)+1,""))</f>
        <v> </v>
      </c>
    </row>
    <row r="122" spans="8:8">
      <c r="H122" s="23" t="str">
        <f>IF('Bets'!C119="","",IF(COUNTIF('Bets'!$C$2:C119,'Bets'!C119)=1,MAX($H$4:H121)+1,""))</f>
        <v> </v>
      </c>
    </row>
    <row r="123" spans="8:8">
      <c r="H123" s="23" t="str">
        <f>IF('Bets'!C120="","",IF(COUNTIF('Bets'!$C$2:C120,'Bets'!C120)=1,MAX($H$4:H122)+1,""))</f>
        <v> </v>
      </c>
    </row>
    <row r="124" spans="8:8">
      <c r="H124" s="23" t="str">
        <f>IF('Bets'!C121="","",IF(COUNTIF('Bets'!$C$2:C121,'Bets'!C121)=1,MAX($H$4:H123)+1,""))</f>
        <v> </v>
      </c>
    </row>
    <row r="125" spans="8:8">
      <c r="H125" s="23" t="str">
        <f>IF('Bets'!C122="","",IF(COUNTIF('Bets'!$C$2:C122,'Bets'!C122)=1,MAX($H$4:H124)+1,""))</f>
        <v> </v>
      </c>
    </row>
    <row r="126" spans="8:8">
      <c r="H126" s="23" t="str">
        <f>IF('Bets'!C123="","",IF(COUNTIF('Bets'!$C$2:C123,'Bets'!C123)=1,MAX($H$4:H125)+1,""))</f>
        <v> </v>
      </c>
    </row>
    <row r="127" spans="8:8">
      <c r="H127" s="23" t="str">
        <f>IF('Bets'!C124="","",IF(COUNTIF('Bets'!$C$2:C124,'Bets'!C124)=1,MAX($H$4:H126)+1,""))</f>
        <v> </v>
      </c>
    </row>
    <row r="128" spans="8:8">
      <c r="H128" s="23" t="str">
        <f>IF('Bets'!C125="","",IF(COUNTIF('Bets'!$C$2:C125,'Bets'!C125)=1,MAX($H$4:H127)+1,""))</f>
        <v> </v>
      </c>
    </row>
    <row r="129" spans="8:8">
      <c r="H129" s="23" t="str">
        <f>IF('Bets'!C126="","",IF(COUNTIF('Bets'!$C$2:C126,'Bets'!C126)=1,MAX($H$4:H128)+1,""))</f>
        <v> </v>
      </c>
    </row>
    <row r="130" spans="8:8">
      <c r="H130" s="23" t="str">
        <f>IF('Bets'!C127="","",IF(COUNTIF('Bets'!$C$2:C127,'Bets'!C127)=1,MAX($H$4:H129)+1,""))</f>
        <v> </v>
      </c>
    </row>
    <row r="131" spans="8:8">
      <c r="H131" s="23" t="str">
        <f>IF('Bets'!C128="","",IF(COUNTIF('Bets'!$C$2:C128,'Bets'!C128)=1,MAX($H$4:H130)+1,""))</f>
        <v> </v>
      </c>
    </row>
    <row r="132" spans="8:8">
      <c r="H132" s="23" t="str">
        <f>IF('Bets'!C129="","",IF(COUNTIF('Bets'!$C$2:C129,'Bets'!C129)=1,MAX($H$4:H131)+1,""))</f>
        <v> </v>
      </c>
    </row>
    <row r="133" spans="8:8">
      <c r="H133" s="23" t="str">
        <f>IF('Bets'!C130="","",IF(COUNTIF('Bets'!$C$2:C130,'Bets'!C130)=1,MAX($H$4:H132)+1,""))</f>
        <v> </v>
      </c>
    </row>
    <row r="134" spans="8:8">
      <c r="H134" s="23" t="str">
        <f>IF('Bets'!C131="","",IF(COUNTIF('Bets'!$C$2:C131,'Bets'!C131)=1,MAX($H$4:H133)+1,""))</f>
        <v> </v>
      </c>
    </row>
    <row r="135" spans="8:8">
      <c r="H135" s="23" t="str">
        <f>IF('Bets'!C132="","",IF(COUNTIF('Bets'!$C$2:C132,'Bets'!C132)=1,MAX($H$4:H134)+1,""))</f>
        <v> </v>
      </c>
    </row>
    <row r="136" spans="8:8">
      <c r="H136" s="23" t="str">
        <f>IF('Bets'!C133="","",IF(COUNTIF('Bets'!$C$2:C133,'Bets'!C133)=1,MAX($H$4:H135)+1,""))</f>
        <v> </v>
      </c>
    </row>
    <row r="137" spans="8:8">
      <c r="H137" s="23" t="str">
        <f>IF('Bets'!C134="","",IF(COUNTIF('Bets'!$C$2:C134,'Bets'!C134)=1,MAX($H$4:H136)+1,""))</f>
        <v> </v>
      </c>
    </row>
    <row r="138" spans="8:8">
      <c r="H138" s="23" t="str">
        <f>IF('Bets'!C135="","",IF(COUNTIF('Bets'!$C$2:C135,'Bets'!C135)=1,MAX($H$4:H137)+1,""))</f>
        <v> </v>
      </c>
    </row>
    <row r="139" spans="8:8">
      <c r="H139" s="23" t="str">
        <f>IF('Bets'!C136="","",IF(COUNTIF('Bets'!$C$2:C136,'Bets'!C136)=1,MAX($H$4:H138)+1,""))</f>
        <v> </v>
      </c>
    </row>
    <row r="140" spans="8:8">
      <c r="H140" s="23" t="str">
        <f>IF('Bets'!C137="","",IF(COUNTIF('Bets'!$C$2:C137,'Bets'!C137)=1,MAX($H$4:H139)+1,""))</f>
        <v> </v>
      </c>
    </row>
    <row r="141" spans="8:8">
      <c r="H141" s="23" t="str">
        <f>IF('Bets'!C138="","",IF(COUNTIF('Bets'!$C$2:C138,'Bets'!C138)=1,MAX($H$4:H140)+1,""))</f>
        <v> </v>
      </c>
    </row>
    <row r="142" spans="8:8">
      <c r="H142" s="23" t="str">
        <f>IF('Bets'!C139="","",IF(COUNTIF('Bets'!$C$2:C139,'Bets'!C139)=1,MAX($H$4:H141)+1,""))</f>
        <v> </v>
      </c>
    </row>
    <row r="143" spans="8:8">
      <c r="H143" s="23" t="str">
        <f>IF('Bets'!C140="","",IF(COUNTIF('Bets'!$C$2:C140,'Bets'!C140)=1,MAX($H$4:H142)+1,""))</f>
        <v> </v>
      </c>
    </row>
    <row r="144" spans="8:8">
      <c r="H144" s="23" t="str">
        <f>IF('Bets'!C141="","",IF(COUNTIF('Bets'!$C$2:C141,'Bets'!C141)=1,MAX($H$4:H143)+1,""))</f>
        <v> </v>
      </c>
    </row>
    <row r="145" spans="8:8">
      <c r="H145" s="23" t="str">
        <f>IF('Bets'!C142="","",IF(COUNTIF('Bets'!$C$2:C142,'Bets'!C142)=1,MAX($H$4:H144)+1,""))</f>
        <v> </v>
      </c>
    </row>
    <row r="146" spans="8:8">
      <c r="H146" s="23" t="str">
        <f>IF('Bets'!C143="","",IF(COUNTIF('Bets'!$C$2:C143,'Bets'!C143)=1,MAX($H$4:H145)+1,""))</f>
        <v> </v>
      </c>
    </row>
    <row r="147" spans="8:8">
      <c r="H147" s="23" t="str">
        <f>IF('Bets'!C144="","",IF(COUNTIF('Bets'!$C$2:C144,'Bets'!C144)=1,MAX($H$4:H146)+1,""))</f>
        <v> </v>
      </c>
    </row>
    <row r="148" spans="8:8">
      <c r="H148" s="23" t="str">
        <f>IF('Bets'!C145="","",IF(COUNTIF('Bets'!$C$2:C145,'Bets'!C145)=1,MAX($H$4:H147)+1,""))</f>
        <v> </v>
      </c>
    </row>
    <row r="149" spans="8:8">
      <c r="H149" s="23" t="str">
        <f>IF('Bets'!C146="","",IF(COUNTIF('Bets'!$C$2:C146,'Bets'!C146)=1,MAX($H$4:H148)+1,""))</f>
        <v> </v>
      </c>
    </row>
    <row r="150" spans="8:8">
      <c r="H150" s="23" t="str">
        <f>IF('Bets'!C147="","",IF(COUNTIF('Bets'!$C$2:C147,'Bets'!C147)=1,MAX($H$4:H149)+1,""))</f>
        <v> </v>
      </c>
    </row>
    <row r="151" spans="8:8">
      <c r="H151" s="23" t="str">
        <f>IF('Bets'!C148="","",IF(COUNTIF('Bets'!$C$2:C148,'Bets'!C148)=1,MAX($H$4:H150)+1,""))</f>
        <v> </v>
      </c>
    </row>
    <row r="152" spans="8:8">
      <c r="H152" s="23" t="str">
        <f>IF('Bets'!C149="","",IF(COUNTIF('Bets'!$C$2:C149,'Bets'!C149)=1,MAX($H$4:H151)+1,""))</f>
        <v> </v>
      </c>
    </row>
    <row r="153" spans="8:8">
      <c r="H153" s="23" t="str">
        <f>IF('Bets'!C150="","",IF(COUNTIF('Bets'!$C$2:C150,'Bets'!C150)=1,MAX($H$4:H152)+1,""))</f>
        <v> </v>
      </c>
    </row>
    <row r="154" spans="8:8">
      <c r="H154" s="23" t="str">
        <f>IF('Bets'!C151="","",IF(COUNTIF('Bets'!$C$2:C151,'Bets'!C151)=1,MAX($H$4:H153)+1,""))</f>
        <v> </v>
      </c>
    </row>
    <row r="155" spans="8:8">
      <c r="H155" s="23" t="str">
        <f>IF('Bets'!C152="","",IF(COUNTIF('Bets'!$C$2:C152,'Bets'!C152)=1,MAX($H$4:H154)+1,""))</f>
        <v> </v>
      </c>
    </row>
    <row r="156" spans="8:8">
      <c r="H156" s="23" t="str">
        <f>IF('Bets'!C153="","",IF(COUNTIF('Bets'!$C$2:C153,'Bets'!C153)=1,MAX($H$4:H155)+1,""))</f>
        <v> </v>
      </c>
    </row>
    <row r="157" spans="8:8">
      <c r="H157" s="23" t="str">
        <f>IF('Bets'!C154="","",IF(COUNTIF('Bets'!$C$2:C154,'Bets'!C154)=1,MAX($H$4:H156)+1,""))</f>
        <v> </v>
      </c>
    </row>
    <row r="158" spans="8:8">
      <c r="H158" s="23" t="str">
        <f>IF('Bets'!C155="","",IF(COUNTIF('Bets'!$C$2:C155,'Bets'!C155)=1,MAX($H$4:H157)+1,""))</f>
        <v> </v>
      </c>
    </row>
    <row r="159" spans="8:8">
      <c r="H159" s="23" t="str">
        <f>IF('Bets'!C156="","",IF(COUNTIF('Bets'!$C$2:C156,'Bets'!C156)=1,MAX($H$4:H158)+1,""))</f>
        <v> </v>
      </c>
    </row>
    <row r="160" spans="8:8">
      <c r="H160" s="23" t="str">
        <f>IF('Bets'!C157="","",IF(COUNTIF('Bets'!$C$2:C157,'Bets'!C157)=1,MAX($H$4:H159)+1,""))</f>
        <v> </v>
      </c>
    </row>
    <row r="161" spans="8:8">
      <c r="H161" s="23" t="str">
        <f>IF('Bets'!C158="","",IF(COUNTIF('Bets'!$C$2:C158,'Bets'!C158)=1,MAX($H$4:H160)+1,""))</f>
        <v> </v>
      </c>
    </row>
    <row r="162" spans="8:8">
      <c r="H162" s="23" t="str">
        <f>IF('Bets'!C159="","",IF(COUNTIF('Bets'!$C$2:C159,'Bets'!C159)=1,MAX($H$4:H161)+1,""))</f>
        <v> </v>
      </c>
    </row>
    <row r="163" spans="8:8">
      <c r="H163" s="23" t="str">
        <f>IF('Bets'!C160="","",IF(COUNTIF('Bets'!$C$2:C160,'Bets'!C160)=1,MAX($H$4:H162)+1,""))</f>
        <v> </v>
      </c>
    </row>
    <row r="164" spans="8:8">
      <c r="H164" s="23" t="str">
        <f>IF('Bets'!C161="","",IF(COUNTIF('Bets'!$C$2:C161,'Bets'!C161)=1,MAX($H$4:H163)+1,""))</f>
        <v> </v>
      </c>
    </row>
    <row r="165" spans="8:8">
      <c r="H165" s="23" t="str">
        <f>IF('Bets'!C162="","",IF(COUNTIF('Bets'!$C$2:C162,'Bets'!C162)=1,MAX($H$4:H164)+1,""))</f>
        <v> </v>
      </c>
    </row>
    <row r="166" spans="8:8">
      <c r="H166" s="23" t="str">
        <f>IF('Bets'!C163="","",IF(COUNTIF('Bets'!$C$2:C163,'Bets'!C163)=1,MAX($H$4:H165)+1,""))</f>
        <v> </v>
      </c>
    </row>
    <row r="167" spans="8:8">
      <c r="H167" s="23" t="str">
        <f>IF('Bets'!C164="","",IF(COUNTIF('Bets'!$C$2:C164,'Bets'!C164)=1,MAX($H$4:H166)+1,""))</f>
        <v> </v>
      </c>
    </row>
    <row r="168" spans="8:8">
      <c r="H168" s="23" t="str">
        <f>IF('Bets'!C165="","",IF(COUNTIF('Bets'!$C$2:C165,'Bets'!C165)=1,MAX($H$4:H167)+1,""))</f>
        <v> </v>
      </c>
    </row>
    <row r="169" spans="8:8">
      <c r="H169" s="23" t="str">
        <f>IF('Bets'!C166="","",IF(COUNTIF('Bets'!$C$2:C166,'Bets'!C166)=1,MAX($H$4:H168)+1,""))</f>
        <v> </v>
      </c>
    </row>
    <row r="170" spans="8:8">
      <c r="H170" s="23" t="str">
        <f>IF('Bets'!C167="","",IF(COUNTIF('Bets'!$C$2:C167,'Bets'!C167)=1,MAX($H$4:H169)+1,""))</f>
        <v> </v>
      </c>
    </row>
    <row r="171" spans="8:8">
      <c r="H171" s="23" t="str">
        <f>IF('Bets'!C168="","",IF(COUNTIF('Bets'!$C$2:C168,'Bets'!C168)=1,MAX($H$4:H170)+1,""))</f>
        <v> </v>
      </c>
    </row>
    <row r="172" spans="8:8">
      <c r="H172" s="23" t="str">
        <f>IF('Bets'!C169="","",IF(COUNTIF('Bets'!$C$2:C169,'Bets'!C169)=1,MAX($H$4:H171)+1,""))</f>
        <v> </v>
      </c>
    </row>
    <row r="173" spans="8:8">
      <c r="H173" s="23" t="str">
        <f>IF('Bets'!C170="","",IF(COUNTIF('Bets'!$C$2:C170,'Bets'!C170)=1,MAX($H$4:H172)+1,""))</f>
        <v> </v>
      </c>
    </row>
    <row r="174" spans="8:8">
      <c r="H174" s="23" t="str">
        <f>IF('Bets'!C171="","",IF(COUNTIF('Bets'!$C$2:C171,'Bets'!C171)=1,MAX($H$4:H173)+1,""))</f>
        <v> </v>
      </c>
    </row>
    <row r="175" spans="8:8">
      <c r="H175" s="23" t="str">
        <f>IF('Bets'!C172="","",IF(COUNTIF('Bets'!$C$2:C172,'Bets'!C172)=1,MAX($H$4:H174)+1,""))</f>
        <v> </v>
      </c>
    </row>
    <row r="176" spans="8:8">
      <c r="H176" s="23" t="str">
        <f>IF('Bets'!C173="","",IF(COUNTIF('Bets'!$C$2:C173,'Bets'!C173)=1,MAX($H$4:H175)+1,""))</f>
        <v> </v>
      </c>
    </row>
    <row r="177" spans="8:8">
      <c r="H177" s="23" t="str">
        <f>IF('Bets'!C174="","",IF(COUNTIF('Bets'!$C$2:C174,'Bets'!C174)=1,MAX($H$4:H176)+1,""))</f>
        <v> </v>
      </c>
    </row>
    <row r="178" spans="8:8">
      <c r="H178" s="23" t="str">
        <f>IF('Bets'!C175="","",IF(COUNTIF('Bets'!$C$2:C175,'Bets'!C175)=1,MAX($H$4:H177)+1,""))</f>
        <v> </v>
      </c>
    </row>
    <row r="179" spans="8:8">
      <c r="H179" s="23" t="str">
        <f>IF('Bets'!C176="","",IF(COUNTIF('Bets'!$C$2:C176,'Bets'!C176)=1,MAX($H$4:H178)+1,""))</f>
        <v> </v>
      </c>
    </row>
    <row r="180" spans="8:8">
      <c r="H180" s="23" t="str">
        <f>IF('Bets'!C177="","",IF(COUNTIF('Bets'!$C$2:C177,'Bets'!C177)=1,MAX($H$4:H179)+1,""))</f>
        <v> </v>
      </c>
    </row>
    <row r="181" spans="8:8">
      <c r="H181" s="23" t="str">
        <f>IF('Bets'!C178="","",IF(COUNTIF('Bets'!$C$2:C178,'Bets'!C178)=1,MAX($H$4:H180)+1,""))</f>
        <v> </v>
      </c>
    </row>
    <row r="182" spans="8:8">
      <c r="H182" s="23" t="str">
        <f>IF('Bets'!C179="","",IF(COUNTIF('Bets'!$C$2:C179,'Bets'!C179)=1,MAX($H$4:H181)+1,""))</f>
        <v> </v>
      </c>
    </row>
    <row r="183" spans="8:8">
      <c r="H183" s="23" t="str">
        <f>IF('Bets'!C180="","",IF(COUNTIF('Bets'!$C$2:C180,'Bets'!C180)=1,MAX($H$4:H182)+1,""))</f>
        <v> </v>
      </c>
    </row>
    <row r="184" spans="8:8">
      <c r="H184" s="23" t="str">
        <f>IF('Bets'!C181="","",IF(COUNTIF('Bets'!$C$2:C181,'Bets'!C181)=1,MAX($H$4:H183)+1,""))</f>
        <v> </v>
      </c>
    </row>
    <row r="185" spans="8:8">
      <c r="H185" s="23" t="str">
        <f>IF('Bets'!C182="","",IF(COUNTIF('Bets'!$C$2:C182,'Bets'!C182)=1,MAX($H$4:H184)+1,""))</f>
        <v> </v>
      </c>
    </row>
    <row r="186" spans="8:8">
      <c r="H186" s="23" t="str">
        <f>IF('Bets'!C183="","",IF(COUNTIF('Bets'!$C$2:C183,'Bets'!C183)=1,MAX($H$4:H185)+1,""))</f>
        <v> </v>
      </c>
    </row>
    <row r="187" spans="8:8">
      <c r="H187" s="23" t="str">
        <f>IF('Bets'!C184="","",IF(COUNTIF('Bets'!$C$2:C184,'Bets'!C184)=1,MAX($H$4:H186)+1,""))</f>
        <v> </v>
      </c>
    </row>
    <row r="188" spans="8:8">
      <c r="H188" s="23" t="str">
        <f>IF('Bets'!C185="","",IF(COUNTIF('Bets'!$C$2:C185,'Bets'!C185)=1,MAX($H$4:H187)+1,""))</f>
        <v> </v>
      </c>
    </row>
    <row r="189" spans="8:8">
      <c r="H189" s="23" t="str">
        <f>IF('Bets'!C186="","",IF(COUNTIF('Bets'!$C$2:C186,'Bets'!C186)=1,MAX($H$4:H188)+1,""))</f>
        <v> </v>
      </c>
    </row>
    <row r="190" spans="8:8">
      <c r="H190" s="23" t="str">
        <f>IF('Bets'!C187="","",IF(COUNTIF('Bets'!$C$2:C187,'Bets'!C187)=1,MAX($H$4:H189)+1,""))</f>
        <v> </v>
      </c>
    </row>
    <row r="191" spans="8:8">
      <c r="H191" s="23" t="str">
        <f>IF('Bets'!C188="","",IF(COUNTIF('Bets'!$C$2:C188,'Bets'!C188)=1,MAX($H$4:H190)+1,""))</f>
        <v> </v>
      </c>
    </row>
    <row r="192" spans="8:8">
      <c r="H192" s="23" t="str">
        <f>IF('Bets'!C189="","",IF(COUNTIF('Bets'!$C$2:C189,'Bets'!C189)=1,MAX($H$4:H191)+1,""))</f>
        <v> </v>
      </c>
    </row>
    <row r="193" spans="8:8">
      <c r="H193" s="23" t="str">
        <f>IF('Bets'!C190="","",IF(COUNTIF('Bets'!$C$2:C190,'Bets'!C190)=1,MAX($H$4:H192)+1,""))</f>
        <v> </v>
      </c>
    </row>
    <row r="194" spans="8:8">
      <c r="H194" s="23" t="str">
        <f>IF('Bets'!C191="","",IF(COUNTIF('Bets'!$C$2:C191,'Bets'!C191)=1,MAX($H$4:H193)+1,""))</f>
        <v> </v>
      </c>
    </row>
    <row r="195" spans="8:8">
      <c r="H195" s="23" t="str">
        <f>IF('Bets'!C192="","",IF(COUNTIF('Bets'!$C$2:C192,'Bets'!C192)=1,MAX($H$4:H194)+1,""))</f>
        <v> </v>
      </c>
    </row>
    <row r="196" spans="8:8">
      <c r="H196" s="23" t="str">
        <f>IF('Bets'!C193="","",IF(COUNTIF('Bets'!$C$2:C193,'Bets'!C193)=1,MAX($H$4:H195)+1,""))</f>
        <v> </v>
      </c>
    </row>
    <row r="197" spans="8:8">
      <c r="H197" s="23" t="str">
        <f>IF('Bets'!C194="","",IF(COUNTIF('Bets'!$C$2:C194,'Bets'!C194)=1,MAX($H$4:H196)+1,""))</f>
        <v> </v>
      </c>
    </row>
    <row r="198" spans="8:8">
      <c r="H198" s="23" t="str">
        <f>IF('Bets'!C195="","",IF(COUNTIF('Bets'!$C$2:C195,'Bets'!C195)=1,MAX($H$4:H197)+1,""))</f>
        <v> </v>
      </c>
    </row>
    <row r="199" spans="8:8">
      <c r="H199" s="23" t="str">
        <f>IF('Bets'!C196="","",IF(COUNTIF('Bets'!$C$2:C196,'Bets'!C196)=1,MAX($H$4:H198)+1,""))</f>
        <v> </v>
      </c>
    </row>
    <row r="200" spans="8:8">
      <c r="H200" s="23" t="str">
        <f>IF('Bets'!C197="","",IF(COUNTIF('Bets'!$C$2:C197,'Bets'!C197)=1,MAX($H$4:H199)+1,""))</f>
        <v> </v>
      </c>
    </row>
    <row r="201" spans="8:8">
      <c r="H201" s="23" t="str">
        <f>IF('Bets'!C198="","",IF(COUNTIF('Bets'!$C$2:C198,'Bets'!C198)=1,MAX($H$4:H200)+1,""))</f>
        <v> </v>
      </c>
    </row>
    <row r="202" spans="8:8">
      <c r="H202" s="23" t="str">
        <f>IF('Bets'!C199="","",IF(COUNTIF('Bets'!$C$2:C199,'Bets'!C199)=1,MAX($H$4:H201)+1,""))</f>
        <v> </v>
      </c>
    </row>
    <row r="203" spans="8:8">
      <c r="H203" s="23" t="str">
        <f>IF('Bets'!C200="","",IF(COUNTIF('Bets'!$C$2:C200,'Bets'!C200)=1,MAX($H$4:H202)+1,""))</f>
        <v> </v>
      </c>
    </row>
    <row r="204" spans="8:8">
      <c r="H204" s="23" t="str">
        <f>IF('Bets'!C201="","",IF(COUNTIF('Bets'!$C$2:C201,'Bets'!C201)=1,MAX($H$4:H203)+1,""))</f>
        <v> </v>
      </c>
    </row>
    <row r="205" spans="8:8">
      <c r="H205" s="23" t="str">
        <f>IF('Bets'!C202="","",IF(COUNTIF('Bets'!$C$2:C202,'Bets'!C202)=1,MAX($H$4:H204)+1,""))</f>
        <v> </v>
      </c>
    </row>
    <row r="206" spans="8:8">
      <c r="H206" s="23" t="str">
        <f>IF('Bets'!C203="","",IF(COUNTIF('Bets'!$C$2:C203,'Bets'!C203)=1,MAX($H$4:H205)+1,""))</f>
        <v> </v>
      </c>
    </row>
    <row r="207" spans="8:8">
      <c r="H207" s="23" t="str">
        <f>IF('Bets'!C204="","",IF(COUNTIF('Bets'!$C$2:C204,'Bets'!C204)=1,MAX($H$4:H206)+1,""))</f>
        <v> </v>
      </c>
    </row>
    <row r="208" spans="8:8">
      <c r="H208" s="23" t="str">
        <f>IF('Bets'!C205="","",IF(COUNTIF('Bets'!$C$2:C205,'Bets'!C205)=1,MAX($H$4:H207)+1,""))</f>
        <v> </v>
      </c>
    </row>
    <row r="209" spans="8:8">
      <c r="H209" s="23" t="str">
        <f>IF('Bets'!C206="","",IF(COUNTIF('Bets'!$C$2:C206,'Bets'!C206)=1,MAX($H$4:H208)+1,""))</f>
        <v> </v>
      </c>
    </row>
    <row r="210" spans="8:8">
      <c r="H210" s="23" t="str">
        <f>IF('Bets'!C207="","",IF(COUNTIF('Bets'!$C$2:C207,'Bets'!C207)=1,MAX($H$4:H209)+1,""))</f>
        <v> </v>
      </c>
    </row>
    <row r="211" spans="8:8">
      <c r="H211" s="23" t="str">
        <f>IF('Bets'!C208="","",IF(COUNTIF('Bets'!$C$2:C208,'Bets'!C208)=1,MAX($H$4:H210)+1,""))</f>
        <v> </v>
      </c>
    </row>
    <row r="212" spans="8:8">
      <c r="H212" s="23" t="str">
        <f>IF('Bets'!C209="","",IF(COUNTIF('Bets'!$C$2:C209,'Bets'!C209)=1,MAX($H$4:H211)+1,""))</f>
        <v> </v>
      </c>
    </row>
    <row r="213" spans="8:8">
      <c r="H213" s="23" t="str">
        <f>IF('Bets'!C210="","",IF(COUNTIF('Bets'!$C$2:C210,'Bets'!C210)=1,MAX($H$4:H212)+1,""))</f>
        <v> </v>
      </c>
    </row>
    <row r="214" spans="8:8">
      <c r="H214" s="23" t="str">
        <f>IF('Bets'!C211="","",IF(COUNTIF('Bets'!$C$2:C211,'Bets'!C211)=1,MAX($H$4:H213)+1,""))</f>
        <v> </v>
      </c>
    </row>
    <row r="215" spans="8:8">
      <c r="H215" s="23" t="str">
        <f>IF('Bets'!C212="","",IF(COUNTIF('Bets'!$C$2:C212,'Bets'!C212)=1,MAX($H$4:H214)+1,""))</f>
        <v> </v>
      </c>
    </row>
    <row r="216" spans="8:8">
      <c r="H216" s="23" t="str">
        <f>IF('Bets'!C213="","",IF(COUNTIF('Bets'!$C$2:C213,'Bets'!C213)=1,MAX($H$4:H215)+1,""))</f>
        <v> </v>
      </c>
    </row>
    <row r="217" spans="8:8">
      <c r="H217" s="23" t="str">
        <f>IF('Bets'!C214="","",IF(COUNTIF('Bets'!$C$2:C214,'Bets'!C214)=1,MAX($H$4:H216)+1,""))</f>
        <v> </v>
      </c>
    </row>
    <row r="218" spans="8:8">
      <c r="H218" s="23" t="str">
        <f>IF('Bets'!C215="","",IF(COUNTIF('Bets'!$C$2:C215,'Bets'!C215)=1,MAX($H$4:H217)+1,""))</f>
        <v> </v>
      </c>
    </row>
    <row r="219" spans="8:8">
      <c r="H219" s="23" t="str">
        <f>IF('Bets'!C216="","",IF(COUNTIF('Bets'!$C$2:C216,'Bets'!C216)=1,MAX($H$4:H218)+1,""))</f>
        <v> </v>
      </c>
    </row>
    <row r="220" spans="8:8">
      <c r="H220" s="23" t="str">
        <f>IF('Bets'!C217="","",IF(COUNTIF('Bets'!$C$2:C217,'Bets'!C217)=1,MAX($H$4:H219)+1,""))</f>
        <v> </v>
      </c>
    </row>
    <row r="221" spans="8:8">
      <c r="H221" s="23" t="str">
        <f>IF('Bets'!C218="","",IF(COUNTIF('Bets'!$C$2:C218,'Bets'!C218)=1,MAX($H$4:H220)+1,""))</f>
        <v> </v>
      </c>
    </row>
    <row r="222" spans="8:8">
      <c r="H222" s="23" t="str">
        <f>IF('Bets'!C219="","",IF(COUNTIF('Bets'!$C$2:C219,'Bets'!C219)=1,MAX($H$4:H221)+1,""))</f>
        <v> </v>
      </c>
    </row>
    <row r="223" spans="8:8">
      <c r="H223" s="23" t="str">
        <f>IF('Bets'!C220="","",IF(COUNTIF('Bets'!$C$2:C220,'Bets'!C220)=1,MAX($H$4:H222)+1,""))</f>
        <v> </v>
      </c>
    </row>
    <row r="224" spans="8:8">
      <c r="H224" s="23" t="str">
        <f>IF('Bets'!C221="","",IF(COUNTIF('Bets'!$C$2:C221,'Bets'!C221)=1,MAX($H$4:H223)+1,""))</f>
        <v> </v>
      </c>
    </row>
    <row r="225" spans="8:8">
      <c r="H225" s="23" t="str">
        <f>IF('Bets'!C222="","",IF(COUNTIF('Bets'!$C$2:C222,'Bets'!C222)=1,MAX($H$4:H224)+1,""))</f>
        <v> </v>
      </c>
    </row>
    <row r="226" spans="8:8">
      <c r="H226" s="23" t="str">
        <f>IF('Bets'!C223="","",IF(COUNTIF('Bets'!$C$2:C223,'Bets'!C223)=1,MAX($H$4:H225)+1,""))</f>
        <v> </v>
      </c>
    </row>
    <row r="227" spans="8:8">
      <c r="H227" s="23" t="str">
        <f>IF('Bets'!C224="","",IF(COUNTIF('Bets'!$C$2:C224,'Bets'!C224)=1,MAX($H$4:H226)+1,""))</f>
        <v> </v>
      </c>
    </row>
    <row r="228" spans="8:8">
      <c r="H228" s="23" t="str">
        <f>IF('Bets'!C225="","",IF(COUNTIF('Bets'!$C$2:C225,'Bets'!C225)=1,MAX($H$4:H227)+1,""))</f>
        <v> </v>
      </c>
    </row>
    <row r="229" spans="8:8">
      <c r="H229" s="23" t="str">
        <f>IF('Bets'!C226="","",IF(COUNTIF('Bets'!$C$2:C226,'Bets'!C226)=1,MAX($H$4:H228)+1,""))</f>
        <v> </v>
      </c>
    </row>
    <row r="230" spans="8:8">
      <c r="H230" s="23" t="str">
        <f>IF('Bets'!C227="","",IF(COUNTIF('Bets'!$C$2:C227,'Bets'!C227)=1,MAX($H$4:H229)+1,""))</f>
        <v> </v>
      </c>
    </row>
    <row r="231" spans="8:8">
      <c r="H231" s="23" t="str">
        <f>IF('Bets'!C228="","",IF(COUNTIF('Bets'!$C$2:C228,'Bets'!C228)=1,MAX($H$4:H230)+1,""))</f>
        <v> </v>
      </c>
    </row>
    <row r="232" spans="8:8">
      <c r="H232" s="23" t="str">
        <f>IF('Bets'!C229="","",IF(COUNTIF('Bets'!$C$2:C229,'Bets'!C229)=1,MAX($H$4:H231)+1,""))</f>
        <v> </v>
      </c>
    </row>
    <row r="233" spans="8:8">
      <c r="H233" s="23" t="str">
        <f>IF('Bets'!C230="","",IF(COUNTIF('Bets'!$C$2:C230,'Bets'!C230)=1,MAX($H$4:H232)+1,""))</f>
        <v> </v>
      </c>
    </row>
    <row r="234" spans="8:8">
      <c r="H234" s="23" t="str">
        <f>IF('Bets'!C231="","",IF(COUNTIF('Bets'!$C$2:C231,'Bets'!C231)=1,MAX($H$4:H233)+1,""))</f>
        <v> </v>
      </c>
    </row>
    <row r="235" spans="8:8">
      <c r="H235" s="23" t="str">
        <f>IF('Bets'!C232="","",IF(COUNTIF('Bets'!$C$2:C232,'Bets'!C232)=1,MAX($H$4:H234)+1,""))</f>
        <v> </v>
      </c>
    </row>
    <row r="236" spans="8:8">
      <c r="H236" s="23" t="str">
        <f>IF('Bets'!C233="","",IF(COUNTIF('Bets'!$C$2:C233,'Bets'!C233)=1,MAX($H$4:H235)+1,""))</f>
        <v> </v>
      </c>
    </row>
    <row r="237" spans="8:8">
      <c r="H237" s="23" t="str">
        <f>IF('Bets'!C234="","",IF(COUNTIF('Bets'!$C$2:C234,'Bets'!C234)=1,MAX($H$4:H236)+1,""))</f>
        <v> </v>
      </c>
    </row>
    <row r="238" spans="8:8">
      <c r="H238" s="23" t="str">
        <f>IF('Bets'!C235="","",IF(COUNTIF('Bets'!$C$2:C235,'Bets'!C235)=1,MAX($H$4:H237)+1,""))</f>
        <v> </v>
      </c>
    </row>
    <row r="239" spans="8:8">
      <c r="H239" s="23" t="str">
        <f>IF('Bets'!C236="","",IF(COUNTIF('Bets'!$C$2:C236,'Bets'!C236)=1,MAX($H$4:H238)+1,""))</f>
        <v> </v>
      </c>
    </row>
    <row r="240" spans="8:8">
      <c r="H240" s="23" t="str">
        <f>IF('Bets'!C237="","",IF(COUNTIF('Bets'!$C$2:C237,'Bets'!C237)=1,MAX($H$4:H239)+1,""))</f>
        <v> </v>
      </c>
    </row>
    <row r="241" spans="8:8">
      <c r="H241" s="23" t="str">
        <f>IF('Bets'!C238="","",IF(COUNTIF('Bets'!$C$2:C238,'Bets'!C238)=1,MAX($H$4:H240)+1,""))</f>
        <v> </v>
      </c>
    </row>
    <row r="242" spans="8:8">
      <c r="H242" s="23" t="str">
        <f>IF('Bets'!C239="","",IF(COUNTIF('Bets'!$C$2:C239,'Bets'!C239)=1,MAX($H$4:H241)+1,""))</f>
        <v> </v>
      </c>
    </row>
    <row r="243" spans="8:8">
      <c r="H243" s="23" t="str">
        <f>IF('Bets'!C240="","",IF(COUNTIF('Bets'!$C$2:C240,'Bets'!C240)=1,MAX($H$4:H242)+1,""))</f>
        <v> </v>
      </c>
    </row>
    <row r="244" spans="8:8">
      <c r="H244" s="23" t="str">
        <f>IF('Bets'!C241="","",IF(COUNTIF('Bets'!$C$2:C241,'Bets'!C241)=1,MAX($H$4:H243)+1,""))</f>
        <v> </v>
      </c>
    </row>
    <row r="245" spans="8:8">
      <c r="H245" s="23" t="str">
        <f>IF('Bets'!C242="","",IF(COUNTIF('Bets'!$C$2:C242,'Bets'!C242)=1,MAX($H$4:H244)+1,""))</f>
        <v> </v>
      </c>
    </row>
    <row r="246" spans="8:8">
      <c r="H246" s="23" t="str">
        <f>IF('Bets'!C243="","",IF(COUNTIF('Bets'!$C$2:C243,'Bets'!C243)=1,MAX($H$4:H245)+1,""))</f>
        <v> </v>
      </c>
    </row>
    <row r="247" spans="8:8">
      <c r="H247" s="23" t="str">
        <f>IF('Bets'!C244="","",IF(COUNTIF('Bets'!$C$2:C244,'Bets'!C244)=1,MAX($H$4:H246)+1,""))</f>
        <v> </v>
      </c>
    </row>
    <row r="248" spans="8:8">
      <c r="H248" s="23" t="str">
        <f>IF('Bets'!C245="","",IF(COUNTIF('Bets'!$C$2:C245,'Bets'!C245)=1,MAX($H$4:H247)+1,""))</f>
        <v> </v>
      </c>
    </row>
    <row r="249" spans="8:8">
      <c r="H249" s="23" t="str">
        <f>IF('Bets'!C246="","",IF(COUNTIF('Bets'!$C$2:C246,'Bets'!C246)=1,MAX($H$4:H248)+1,""))</f>
        <v> </v>
      </c>
    </row>
    <row r="250" spans="8:8">
      <c r="H250" s="23" t="str">
        <f>IF('Bets'!C247="","",IF(COUNTIF('Bets'!$C$2:C247,'Bets'!C247)=1,MAX($H$4:H249)+1,""))</f>
        <v> </v>
      </c>
    </row>
    <row r="251" spans="8:8">
      <c r="H251" s="23" t="str">
        <f>IF('Bets'!C248="","",IF(COUNTIF('Bets'!$C$2:C248,'Bets'!C248)=1,MAX($H$4:H250)+1,""))</f>
        <v> </v>
      </c>
    </row>
    <row r="252" spans="8:8">
      <c r="H252" s="23" t="str">
        <f>IF('Bets'!C249="","",IF(COUNTIF('Bets'!$C$2:C249,'Bets'!C249)=1,MAX($H$4:H251)+1,""))</f>
        <v> </v>
      </c>
    </row>
    <row r="253" spans="8:8">
      <c r="H253" s="23" t="str">
        <f>IF('Bets'!C250="","",IF(COUNTIF('Bets'!$C$2:C250,'Bets'!C250)=1,MAX($H$4:H252)+1,""))</f>
        <v> </v>
      </c>
    </row>
    <row r="254" spans="8:8">
      <c r="H254" s="23" t="str">
        <f>IF('Bets'!C251="","",IF(COUNTIF('Bets'!$C$2:C251,'Bets'!C251)=1,MAX($H$4:H253)+1,""))</f>
        <v> </v>
      </c>
    </row>
    <row r="255" spans="8:8">
      <c r="H255" s="23" t="str">
        <f>IF('Bets'!C252="","",IF(COUNTIF('Bets'!$C$2:C252,'Bets'!C252)=1,MAX($H$4:H254)+1,""))</f>
        <v> </v>
      </c>
    </row>
    <row r="256" spans="8:8">
      <c r="H256" s="23" t="str">
        <f>IF('Bets'!C253="","",IF(COUNTIF('Bets'!$C$2:C253,'Bets'!C253)=1,MAX($H$4:H255)+1,""))</f>
        <v> </v>
      </c>
    </row>
    <row r="257" spans="8:8">
      <c r="H257" s="23" t="str">
        <f>IF('Bets'!C254="","",IF(COUNTIF('Bets'!$C$2:C254,'Bets'!C254)=1,MAX($H$4:H256)+1,""))</f>
        <v> </v>
      </c>
    </row>
    <row r="258" spans="8:8">
      <c r="H258" s="23" t="str">
        <f>IF('Bets'!C255="","",IF(COUNTIF('Bets'!$C$2:C255,'Bets'!C255)=1,MAX($H$4:H257)+1,""))</f>
        <v> </v>
      </c>
    </row>
    <row r="259" spans="8:8">
      <c r="H259" s="23" t="str">
        <f>IF('Bets'!C256="","",IF(COUNTIF('Bets'!$C$2:C256,'Bets'!C256)=1,MAX($H$4:H258)+1,""))</f>
        <v> </v>
      </c>
    </row>
    <row r="260" spans="8:8">
      <c r="H260" s="23" t="str">
        <f>IF('Bets'!C257="","",IF(COUNTIF('Bets'!$C$2:C257,'Bets'!C257)=1,MAX($H$4:H259)+1,""))</f>
        <v> </v>
      </c>
    </row>
    <row r="261" spans="8:8">
      <c r="H261" s="23" t="str">
        <f>IF('Bets'!C258="","",IF(COUNTIF('Bets'!$C$2:C258,'Bets'!C258)=1,MAX($H$4:H260)+1,""))</f>
        <v> </v>
      </c>
    </row>
    <row r="262" spans="8:8">
      <c r="H262" s="23" t="str">
        <f>IF('Bets'!C259="","",IF(COUNTIF('Bets'!$C$2:C259,'Bets'!C259)=1,MAX($H$4:H261)+1,""))</f>
        <v> </v>
      </c>
    </row>
    <row r="263" spans="8:8">
      <c r="H263" s="23" t="str">
        <f>IF('Bets'!C260="","",IF(COUNTIF('Bets'!$C$2:C260,'Bets'!C260)=1,MAX($H$4:H262)+1,""))</f>
        <v> </v>
      </c>
    </row>
    <row r="264" spans="8:8">
      <c r="H264" s="23" t="str">
        <f>IF('Bets'!C261="","",IF(COUNTIF('Bets'!$C$2:C261,'Bets'!C261)=1,MAX($H$4:H263)+1,""))</f>
        <v> </v>
      </c>
    </row>
    <row r="265" spans="8:8">
      <c r="H265" s="23" t="str">
        <f>IF('Bets'!C262="","",IF(COUNTIF('Bets'!$C$2:C262,'Bets'!C262)=1,MAX($H$4:H264)+1,""))</f>
        <v> </v>
      </c>
    </row>
    <row r="266" spans="8:8">
      <c r="H266" s="23" t="str">
        <f>IF('Bets'!C263="","",IF(COUNTIF('Bets'!$C$2:C263,'Bets'!C263)=1,MAX($H$4:H265)+1,""))</f>
        <v> </v>
      </c>
    </row>
    <row r="267" spans="8:8">
      <c r="H267" s="23" t="str">
        <f>IF('Bets'!C264="","",IF(COUNTIF('Bets'!$C$2:C264,'Bets'!C264)=1,MAX($H$4:H266)+1,""))</f>
        <v> </v>
      </c>
    </row>
    <row r="268" spans="8:8">
      <c r="H268" s="23" t="str">
        <f>IF('Bets'!C265="","",IF(COUNTIF('Bets'!$C$2:C265,'Bets'!C265)=1,MAX($H$4:H267)+1,""))</f>
        <v> </v>
      </c>
    </row>
    <row r="269" spans="8:8">
      <c r="H269" s="23" t="str">
        <f>IF('Bets'!C266="","",IF(COUNTIF('Bets'!$C$2:C266,'Bets'!C266)=1,MAX($H$4:H268)+1,""))</f>
        <v> </v>
      </c>
    </row>
    <row r="270" spans="8:8">
      <c r="H270" s="23" t="str">
        <f>IF('Bets'!C267="","",IF(COUNTIF('Bets'!$C$2:C267,'Bets'!C267)=1,MAX($H$4:H269)+1,""))</f>
        <v> </v>
      </c>
    </row>
    <row r="271" spans="8:8">
      <c r="H271" s="23" t="str">
        <f>IF('Bets'!C268="","",IF(COUNTIF('Bets'!$C$2:C268,'Bets'!C268)=1,MAX($H$4:H270)+1,""))</f>
        <v> </v>
      </c>
    </row>
    <row r="272" spans="8:8">
      <c r="H272" s="23" t="str">
        <f>IF('Bets'!C269="","",IF(COUNTIF('Bets'!$C$2:C269,'Bets'!C269)=1,MAX($H$4:H271)+1,""))</f>
        <v> </v>
      </c>
    </row>
    <row r="273" spans="8:8">
      <c r="H273" s="23" t="str">
        <f>IF('Bets'!C270="","",IF(COUNTIF('Bets'!$C$2:C270,'Bets'!C270)=1,MAX($H$4:H272)+1,""))</f>
        <v> </v>
      </c>
    </row>
    <row r="274" spans="8:8">
      <c r="H274" s="23" t="str">
        <f>IF('Bets'!C271="","",IF(COUNTIF('Bets'!$C$2:C271,'Bets'!C271)=1,MAX($H$4:H273)+1,""))</f>
        <v> </v>
      </c>
    </row>
    <row r="275" spans="8:8">
      <c r="H275" s="23" t="str">
        <f>IF('Bets'!C272="","",IF(COUNTIF('Bets'!$C$2:C272,'Bets'!C272)=1,MAX($H$4:H274)+1,""))</f>
        <v> </v>
      </c>
    </row>
    <row r="276" spans="8:8">
      <c r="H276" s="23" t="str">
        <f>IF('Bets'!C273="","",IF(COUNTIF('Bets'!$C$2:C273,'Bets'!C273)=1,MAX($H$4:H275)+1,""))</f>
        <v> </v>
      </c>
    </row>
    <row r="277" spans="8:8">
      <c r="H277" s="23" t="str">
        <f>IF('Bets'!C274="","",IF(COUNTIF('Bets'!$C$2:C274,'Bets'!C274)=1,MAX($H$4:H276)+1,""))</f>
        <v> </v>
      </c>
    </row>
    <row r="278" spans="8:8">
      <c r="H278" s="23" t="str">
        <f>IF('Bets'!C275="","",IF(COUNTIF('Bets'!$C$2:C275,'Bets'!C275)=1,MAX($H$4:H277)+1,""))</f>
        <v> </v>
      </c>
    </row>
    <row r="279" spans="8:8">
      <c r="H279" s="23" t="str">
        <f>IF('Bets'!C276="","",IF(COUNTIF('Bets'!$C$2:C276,'Bets'!C276)=1,MAX($H$4:H278)+1,""))</f>
        <v> </v>
      </c>
    </row>
    <row r="280" spans="8:8">
      <c r="H280" s="23" t="str">
        <f>IF('Bets'!C277="","",IF(COUNTIF('Bets'!$C$2:C277,'Bets'!C277)=1,MAX($H$4:H279)+1,""))</f>
        <v> </v>
      </c>
    </row>
    <row r="281" spans="8:8">
      <c r="H281" s="23" t="str">
        <f>IF('Bets'!C278="","",IF(COUNTIF('Bets'!$C$2:C278,'Bets'!C278)=1,MAX($H$4:H280)+1,""))</f>
        <v> </v>
      </c>
    </row>
    <row r="282" spans="8:8">
      <c r="H282" s="23" t="str">
        <f>IF('Bets'!C279="","",IF(COUNTIF('Bets'!$C$2:C279,'Bets'!C279)=1,MAX($H$4:H281)+1,""))</f>
        <v> </v>
      </c>
    </row>
    <row r="283" spans="8:8">
      <c r="H283" s="23" t="str">
        <f>IF('Bets'!C280="","",IF(COUNTIF('Bets'!$C$2:C280,'Bets'!C280)=1,MAX($H$4:H282)+1,""))</f>
        <v> </v>
      </c>
    </row>
    <row r="284" spans="8:8">
      <c r="H284" s="23" t="str">
        <f>IF('Bets'!C281="","",IF(COUNTIF('Bets'!$C$2:C281,'Bets'!C281)=1,MAX($H$4:H283)+1,""))</f>
        <v> </v>
      </c>
    </row>
    <row r="285" spans="8:8">
      <c r="H285" s="23" t="str">
        <f>IF('Bets'!C282="","",IF(COUNTIF('Bets'!$C$2:C282,'Bets'!C282)=1,MAX($H$4:H284)+1,""))</f>
        <v> </v>
      </c>
    </row>
    <row r="286" spans="8:8">
      <c r="H286" s="23" t="str">
        <f>IF('Bets'!C283="","",IF(COUNTIF('Bets'!$C$2:C283,'Bets'!C283)=1,MAX($H$4:H285)+1,""))</f>
        <v> </v>
      </c>
    </row>
    <row r="287" spans="8:8">
      <c r="H287" s="23" t="str">
        <f>IF('Bets'!C284="","",IF(COUNTIF('Bets'!$C$2:C284,'Bets'!C284)=1,MAX($H$4:H286)+1,""))</f>
        <v> </v>
      </c>
    </row>
    <row r="288" spans="8:8">
      <c r="H288" s="23" t="str">
        <f>IF('Bets'!C285="","",IF(COUNTIF('Bets'!$C$2:C285,'Bets'!C285)=1,MAX($H$4:H287)+1,""))</f>
        <v> </v>
      </c>
    </row>
    <row r="289" spans="8:8">
      <c r="H289" s="23" t="str">
        <f>IF('Bets'!C286="","",IF(COUNTIF('Bets'!$C$2:C286,'Bets'!C286)=1,MAX($H$4:H288)+1,""))</f>
        <v> </v>
      </c>
    </row>
    <row r="290" spans="8:8">
      <c r="H290" s="23" t="str">
        <f>IF('Bets'!C287="","",IF(COUNTIF('Bets'!$C$2:C287,'Bets'!C287)=1,MAX($H$4:H289)+1,""))</f>
        <v> </v>
      </c>
    </row>
    <row r="291" spans="8:8">
      <c r="H291" s="23" t="str">
        <f>IF('Bets'!C288="","",IF(COUNTIF('Bets'!$C$2:C288,'Bets'!C288)=1,MAX($H$4:H290)+1,""))</f>
        <v> </v>
      </c>
    </row>
    <row r="292" spans="8:8">
      <c r="H292" s="23" t="str">
        <f>IF('Bets'!C289="","",IF(COUNTIF('Bets'!$C$2:C289,'Bets'!C289)=1,MAX($H$4:H291)+1,""))</f>
        <v> </v>
      </c>
    </row>
    <row r="293" spans="8:8">
      <c r="H293" s="23" t="str">
        <f>IF('Bets'!C290="","",IF(COUNTIF('Bets'!$C$2:C290,'Bets'!C290)=1,MAX($H$4:H292)+1,""))</f>
        <v> </v>
      </c>
    </row>
    <row r="294" spans="8:8">
      <c r="H294" s="23" t="str">
        <f>IF('Bets'!C291="","",IF(COUNTIF('Bets'!$C$2:C291,'Bets'!C291)=1,MAX($H$4:H293)+1,""))</f>
        <v> </v>
      </c>
    </row>
    <row r="295" spans="8:8">
      <c r="H295" s="23" t="str">
        <f>IF('Bets'!C292="","",IF(COUNTIF('Bets'!$C$2:C292,'Bets'!C292)=1,MAX($H$4:H294)+1,""))</f>
        <v> </v>
      </c>
    </row>
    <row r="296" spans="8:8">
      <c r="H296" s="23" t="str">
        <f>IF('Bets'!C293="","",IF(COUNTIF('Bets'!$C$2:C293,'Bets'!C293)=1,MAX($H$4:H295)+1,""))</f>
        <v> </v>
      </c>
    </row>
    <row r="297" spans="8:8">
      <c r="H297" s="23" t="str">
        <f>IF('Bets'!C294="","",IF(COUNTIF('Bets'!$C$2:C294,'Bets'!C294)=1,MAX($H$4:H296)+1,""))</f>
        <v> </v>
      </c>
    </row>
    <row r="298" spans="8:8">
      <c r="H298" s="23" t="str">
        <f>IF('Bets'!C295="","",IF(COUNTIF('Bets'!$C$2:C295,'Bets'!C295)=1,MAX($H$4:H297)+1,""))</f>
        <v> </v>
      </c>
    </row>
    <row r="299" spans="8:8">
      <c r="H299" s="23" t="str">
        <f>IF('Bets'!C296="","",IF(COUNTIF('Bets'!$C$2:C296,'Bets'!C296)=1,MAX($H$4:H298)+1,""))</f>
        <v> </v>
      </c>
    </row>
    <row r="300" spans="8:8">
      <c r="H300" s="23" t="str">
        <f>IF('Bets'!C297="","",IF(COUNTIF('Bets'!$C$2:C297,'Bets'!C297)=1,MAX($H$4:H299)+1,""))</f>
        <v> </v>
      </c>
    </row>
    <row r="301" spans="8:8">
      <c r="H301" s="23" t="str">
        <f>IF('Bets'!C298="","",IF(COUNTIF('Bets'!$C$2:C298,'Bets'!C298)=1,MAX($H$4:H300)+1,""))</f>
        <v> </v>
      </c>
    </row>
    <row r="302" spans="8:8">
      <c r="H302" s="23" t="str">
        <f>IF('Bets'!C299="","",IF(COUNTIF('Bets'!$C$2:C299,'Bets'!C299)=1,MAX($H$4:H301)+1,""))</f>
        <v> </v>
      </c>
    </row>
    <row r="303" spans="8:8">
      <c r="H303" s="23" t="str">
        <f>IF('Bets'!C300="","",IF(COUNTIF('Bets'!$C$2:C300,'Bets'!C300)=1,MAX($H$4:H302)+1,""))</f>
        <v> </v>
      </c>
    </row>
    <row r="304" spans="8:8">
      <c r="H304" s="23" t="str">
        <f>IF('Bets'!C301="","",IF(COUNTIF('Bets'!$C$2:C301,'Bets'!C301)=1,MAX($H$4:H303)+1,""))</f>
        <v> </v>
      </c>
    </row>
    <row r="305" spans="8:8">
      <c r="H305" s="23" t="str">
        <f>IF('Bets'!C302="","",IF(COUNTIF('Bets'!$C$2:C302,'Bets'!C302)=1,MAX($H$4:H304)+1,""))</f>
        <v> </v>
      </c>
    </row>
    <row r="306" spans="8:8">
      <c r="H306" s="23" t="str">
        <f>IF('Bets'!C303="","",IF(COUNTIF('Bets'!$C$2:C303,'Bets'!C303)=1,MAX($H$4:H305)+1,""))</f>
        <v> </v>
      </c>
    </row>
    <row r="307" spans="8:8">
      <c r="H307" s="23" t="str">
        <f>IF('Bets'!C304="","",IF(COUNTIF('Bets'!$C$2:C304,'Bets'!C304)=1,MAX($H$4:H306)+1,""))</f>
        <v> </v>
      </c>
    </row>
    <row r="308" spans="8:8">
      <c r="H308" s="23" t="str">
        <f>IF('Bets'!C305="","",IF(COUNTIF('Bets'!$C$2:C305,'Bets'!C305)=1,MAX($H$4:H307)+1,""))</f>
        <v> </v>
      </c>
    </row>
    <row r="309" spans="8:8">
      <c r="H309" s="23" t="str">
        <f>IF('Bets'!C306="","",IF(COUNTIF('Bets'!$C$2:C306,'Bets'!C306)=1,MAX($H$4:H308)+1,""))</f>
        <v> </v>
      </c>
    </row>
    <row r="310" spans="8:8">
      <c r="H310" s="23" t="str">
        <f>IF('Bets'!C307="","",IF(COUNTIF('Bets'!$C$2:C307,'Bets'!C307)=1,MAX($H$4:H309)+1,""))</f>
        <v> </v>
      </c>
    </row>
    <row r="311" spans="8:8">
      <c r="H311" s="23" t="str">
        <f>IF('Bets'!C308="","",IF(COUNTIF('Bets'!$C$2:C308,'Bets'!C308)=1,MAX($H$4:H310)+1,""))</f>
        <v> </v>
      </c>
    </row>
    <row r="312" spans="8:8">
      <c r="H312" s="23" t="str">
        <f>IF('Bets'!C309="","",IF(COUNTIF('Bets'!$C$2:C309,'Bets'!C309)=1,MAX($H$4:H311)+1,""))</f>
        <v> </v>
      </c>
    </row>
    <row r="313" spans="8:8">
      <c r="H313" s="23" t="str">
        <f>IF('Bets'!C310="","",IF(COUNTIF('Bets'!$C$2:C310,'Bets'!C310)=1,MAX($H$4:H312)+1,""))</f>
        <v> </v>
      </c>
    </row>
    <row r="314" spans="8:8">
      <c r="H314" s="23" t="str">
        <f>IF('Bets'!C311="","",IF(COUNTIF('Bets'!$C$2:C311,'Bets'!C311)=1,MAX($H$4:H313)+1,""))</f>
        <v> </v>
      </c>
    </row>
    <row r="315" spans="8:8">
      <c r="H315" s="23" t="str">
        <f>IF('Bets'!C312="","",IF(COUNTIF('Bets'!$C$2:C312,'Bets'!C312)=1,MAX($H$4:H314)+1,""))</f>
        <v> </v>
      </c>
    </row>
    <row r="316" spans="8:8">
      <c r="H316" s="23" t="str">
        <f>IF('Bets'!C313="","",IF(COUNTIF('Bets'!$C$2:C313,'Bets'!C313)=1,MAX($H$4:H315)+1,""))</f>
        <v> </v>
      </c>
    </row>
    <row r="317" spans="8:8">
      <c r="H317" s="23" t="str">
        <f>IF('Bets'!C314="","",IF(COUNTIF('Bets'!$C$2:C314,'Bets'!C314)=1,MAX($H$4:H316)+1,""))</f>
        <v> </v>
      </c>
    </row>
    <row r="318" spans="8:8">
      <c r="H318" s="23" t="str">
        <f>IF('Bets'!C315="","",IF(COUNTIF('Bets'!$C$2:C315,'Bets'!C315)=1,MAX($H$4:H317)+1,""))</f>
        <v> </v>
      </c>
    </row>
    <row r="319" spans="8:8">
      <c r="H319" s="23" t="str">
        <f>IF('Bets'!C316="","",IF(COUNTIF('Bets'!$C$2:C316,'Bets'!C316)=1,MAX($H$4:H318)+1,""))</f>
        <v> </v>
      </c>
    </row>
    <row r="320" spans="8:8">
      <c r="H320" s="23" t="str">
        <f>IF('Bets'!C317="","",IF(COUNTIF('Bets'!$C$2:C317,'Bets'!C317)=1,MAX($H$4:H319)+1,""))</f>
        <v> </v>
      </c>
    </row>
    <row r="321" spans="8:8">
      <c r="H321" s="23" t="str">
        <f>IF('Bets'!C318="","",IF(COUNTIF('Bets'!$C$2:C318,'Bets'!C318)=1,MAX($H$4:H320)+1,""))</f>
        <v> </v>
      </c>
    </row>
    <row r="322" spans="8:8">
      <c r="H322" s="23" t="str">
        <f>IF('Bets'!C319="","",IF(COUNTIF('Bets'!$C$2:C319,'Bets'!C319)=1,MAX($H$4:H321)+1,""))</f>
        <v> </v>
      </c>
    </row>
    <row r="323" spans="8:8">
      <c r="H323" s="23" t="str">
        <f>IF('Bets'!C320="","",IF(COUNTIF('Bets'!$C$2:C320,'Bets'!C320)=1,MAX($H$4:H322)+1,""))</f>
        <v> </v>
      </c>
    </row>
    <row r="324" spans="8:8">
      <c r="H324" s="23" t="str">
        <f>IF('Bets'!C321="","",IF(COUNTIF('Bets'!$C$2:C321,'Bets'!C321)=1,MAX($H$4:H323)+1,""))</f>
        <v> </v>
      </c>
    </row>
    <row r="325" spans="8:8">
      <c r="H325" s="23" t="str">
        <f>IF('Bets'!C322="","",IF(COUNTIF('Bets'!$C$2:C322,'Bets'!C322)=1,MAX($H$4:H324)+1,""))</f>
        <v> </v>
      </c>
    </row>
    <row r="326" spans="8:8">
      <c r="H326" s="23" t="str">
        <f>IF('Bets'!C323="","",IF(COUNTIF('Bets'!$C$2:C323,'Bets'!C323)=1,MAX($H$4:H325)+1,""))</f>
        <v> </v>
      </c>
    </row>
    <row r="327" spans="8:8">
      <c r="H327" s="23" t="str">
        <f>IF('Bets'!C324="","",IF(COUNTIF('Bets'!$C$2:C324,'Bets'!C324)=1,MAX($H$4:H326)+1,""))</f>
        <v> </v>
      </c>
    </row>
    <row r="328" spans="8:8">
      <c r="H328" s="23" t="str">
        <f>IF('Bets'!C325="","",IF(COUNTIF('Bets'!$C$2:C325,'Bets'!C325)=1,MAX($H$4:H327)+1,""))</f>
        <v> </v>
      </c>
    </row>
    <row r="329" spans="8:8">
      <c r="H329" s="23" t="str">
        <f>IF('Bets'!C326="","",IF(COUNTIF('Bets'!$C$2:C326,'Bets'!C326)=1,MAX($H$4:H328)+1,""))</f>
        <v> </v>
      </c>
    </row>
    <row r="330" spans="8:8">
      <c r="H330" s="23" t="str">
        <f>IF('Bets'!C327="","",IF(COUNTIF('Bets'!$C$2:C327,'Bets'!C327)=1,MAX($H$4:H329)+1,""))</f>
        <v> </v>
      </c>
    </row>
    <row r="331" spans="8:8">
      <c r="H331" s="23" t="str">
        <f>IF('Bets'!C328="","",IF(COUNTIF('Bets'!$C$2:C328,'Bets'!C328)=1,MAX($H$4:H330)+1,""))</f>
        <v> </v>
      </c>
    </row>
    <row r="332" spans="8:8">
      <c r="H332" s="23" t="str">
        <f>IF('Bets'!C329="","",IF(COUNTIF('Bets'!$C$2:C329,'Bets'!C329)=1,MAX($H$4:H331)+1,""))</f>
        <v> </v>
      </c>
    </row>
    <row r="333" spans="8:8">
      <c r="H333" s="23" t="str">
        <f>IF('Bets'!C330="","",IF(COUNTIF('Bets'!$C$2:C330,'Bets'!C330)=1,MAX($H$4:H332)+1,""))</f>
        <v> </v>
      </c>
    </row>
    <row r="334" spans="8:8">
      <c r="H334" s="23" t="str">
        <f>IF('Bets'!C331="","",IF(COUNTIF('Bets'!$C$2:C331,'Bets'!C331)=1,MAX($H$4:H333)+1,""))</f>
        <v> </v>
      </c>
    </row>
    <row r="335" spans="8:8">
      <c r="H335" s="23" t="str">
        <f>IF('Bets'!C332="","",IF(COUNTIF('Bets'!$C$2:C332,'Bets'!C332)=1,MAX($H$4:H334)+1,""))</f>
        <v> </v>
      </c>
    </row>
    <row r="336" spans="8:8">
      <c r="H336" s="23" t="str">
        <f>IF('Bets'!C333="","",IF(COUNTIF('Bets'!$C$2:C333,'Bets'!C333)=1,MAX($H$4:H335)+1,""))</f>
        <v> </v>
      </c>
    </row>
    <row r="337" spans="8:8">
      <c r="H337" s="23" t="str">
        <f>IF('Bets'!C334="","",IF(COUNTIF('Bets'!$C$2:C334,'Bets'!C334)=1,MAX($H$4:H336)+1,""))</f>
        <v> </v>
      </c>
    </row>
    <row r="338" spans="8:8">
      <c r="H338" s="23" t="str">
        <f>IF('Bets'!C335="","",IF(COUNTIF('Bets'!$C$2:C335,'Bets'!C335)=1,MAX($H$4:H337)+1,""))</f>
        <v> </v>
      </c>
    </row>
    <row r="339" spans="8:8">
      <c r="H339" s="23" t="str">
        <f>IF('Bets'!C336="","",IF(COUNTIF('Bets'!$C$2:C336,'Bets'!C336)=1,MAX($H$4:H338)+1,""))</f>
        <v> </v>
      </c>
    </row>
    <row r="340" spans="8:8">
      <c r="H340" s="23" t="str">
        <f>IF('Bets'!C337="","",IF(COUNTIF('Bets'!$C$2:C337,'Bets'!C337)=1,MAX($H$4:H339)+1,""))</f>
        <v> </v>
      </c>
    </row>
    <row r="341" spans="8:8">
      <c r="H341" s="23" t="str">
        <f>IF('Bets'!C338="","",IF(COUNTIF('Bets'!$C$2:C338,'Bets'!C338)=1,MAX($H$4:H340)+1,""))</f>
        <v> </v>
      </c>
    </row>
    <row r="342" spans="8:8">
      <c r="H342" s="23" t="str">
        <f>IF('Bets'!C339="","",IF(COUNTIF('Bets'!$C$2:C339,'Bets'!C339)=1,MAX($H$4:H341)+1,""))</f>
        <v> </v>
      </c>
    </row>
    <row r="343" spans="8:8">
      <c r="H343" s="23" t="str">
        <f>IF('Bets'!C340="","",IF(COUNTIF('Bets'!$C$2:C340,'Bets'!C340)=1,MAX($H$4:H342)+1,""))</f>
        <v> </v>
      </c>
    </row>
    <row r="344" spans="8:8">
      <c r="H344" s="23" t="str">
        <f>IF('Bets'!C341="","",IF(COUNTIF('Bets'!$C$2:C341,'Bets'!C341)=1,MAX($H$4:H343)+1,""))</f>
        <v> </v>
      </c>
    </row>
    <row r="345" spans="8:8">
      <c r="H345" s="23" t="str">
        <f>IF('Bets'!C342="","",IF(COUNTIF('Bets'!$C$2:C342,'Bets'!C342)=1,MAX($H$4:H344)+1,""))</f>
        <v> </v>
      </c>
    </row>
    <row r="346" spans="8:8">
      <c r="H346" s="23" t="str">
        <f>IF('Bets'!C343="","",IF(COUNTIF('Bets'!$C$2:C343,'Bets'!C343)=1,MAX($H$4:H345)+1,""))</f>
        <v> </v>
      </c>
    </row>
    <row r="347" spans="8:8">
      <c r="H347" s="23" t="str">
        <f>IF('Bets'!C344="","",IF(COUNTIF('Bets'!$C$2:C344,'Bets'!C344)=1,MAX($H$4:H346)+1,""))</f>
        <v> </v>
      </c>
    </row>
    <row r="348" spans="8:8">
      <c r="H348" s="23" t="str">
        <f>IF('Bets'!C345="","",IF(COUNTIF('Bets'!$C$2:C345,'Bets'!C345)=1,MAX($H$4:H347)+1,""))</f>
        <v> </v>
      </c>
    </row>
    <row r="349" spans="8:8">
      <c r="H349" s="23" t="str">
        <f>IF('Bets'!C346="","",IF(COUNTIF('Bets'!$C$2:C346,'Bets'!C346)=1,MAX($H$4:H348)+1,""))</f>
        <v> </v>
      </c>
    </row>
    <row r="350" spans="8:8">
      <c r="H350" s="23" t="str">
        <f>IF('Bets'!C347="","",IF(COUNTIF('Bets'!$C$2:C347,'Bets'!C347)=1,MAX($H$4:H349)+1,""))</f>
        <v> </v>
      </c>
    </row>
    <row r="351" spans="8:8">
      <c r="H351" s="23" t="str">
        <f>IF('Bets'!C348="","",IF(COUNTIF('Bets'!$C$2:C348,'Bets'!C348)=1,MAX($H$4:H350)+1,""))</f>
        <v> </v>
      </c>
    </row>
    <row r="352" spans="8:8">
      <c r="H352" s="23" t="str">
        <f>IF('Bets'!C349="","",IF(COUNTIF('Bets'!$C$2:C349,'Bets'!C349)=1,MAX($H$4:H351)+1,""))</f>
        <v> </v>
      </c>
    </row>
    <row r="353" spans="8:8">
      <c r="H353" s="23" t="str">
        <f>IF('Bets'!C350="","",IF(COUNTIF('Bets'!$C$2:C350,'Bets'!C350)=1,MAX($H$4:H352)+1,""))</f>
        <v> </v>
      </c>
    </row>
    <row r="354" spans="8:8">
      <c r="H354" s="23" t="str">
        <f>IF('Bets'!C351="","",IF(COUNTIF('Bets'!$C$2:C351,'Bets'!C351)=1,MAX($H$4:H353)+1,""))</f>
        <v> </v>
      </c>
    </row>
    <row r="355" spans="8:8">
      <c r="H355" s="23" t="str">
        <f>IF('Bets'!C352="","",IF(COUNTIF('Bets'!$C$2:C352,'Bets'!C352)=1,MAX($H$4:H354)+1,""))</f>
        <v> </v>
      </c>
    </row>
    <row r="356" spans="8:8">
      <c r="H356" s="23" t="str">
        <f>IF('Bets'!C353="","",IF(COUNTIF('Bets'!$C$2:C353,'Bets'!C353)=1,MAX($H$4:H355)+1,""))</f>
        <v> </v>
      </c>
    </row>
    <row r="357" spans="8:8">
      <c r="H357" s="23" t="str">
        <f>IF('Bets'!C354="","",IF(COUNTIF('Bets'!$C$2:C354,'Bets'!C354)=1,MAX($H$4:H356)+1,""))</f>
        <v> </v>
      </c>
    </row>
    <row r="358" spans="8:8">
      <c r="H358" s="23" t="str">
        <f>IF('Bets'!C355="","",IF(COUNTIF('Bets'!$C$2:C355,'Bets'!C355)=1,MAX($H$4:H357)+1,""))</f>
        <v> </v>
      </c>
    </row>
    <row r="359" spans="8:8">
      <c r="H359" s="23" t="str">
        <f>IF('Bets'!C356="","",IF(COUNTIF('Bets'!$C$2:C356,'Bets'!C356)=1,MAX($H$4:H358)+1,""))</f>
        <v> </v>
      </c>
    </row>
    <row r="360" spans="8:8">
      <c r="H360" s="23" t="str">
        <f>IF('Bets'!C357="","",IF(COUNTIF('Bets'!$C$2:C357,'Bets'!C357)=1,MAX($H$4:H359)+1,""))</f>
        <v> </v>
      </c>
    </row>
    <row r="361" spans="8:8">
      <c r="H361" s="23" t="str">
        <f>IF('Bets'!C358="","",IF(COUNTIF('Bets'!$C$2:C358,'Bets'!C358)=1,MAX($H$4:H360)+1,""))</f>
        <v> </v>
      </c>
    </row>
    <row r="362" spans="8:8">
      <c r="H362" s="23" t="str">
        <f>IF('Bets'!C359="","",IF(COUNTIF('Bets'!$C$2:C359,'Bets'!C359)=1,MAX($H$4:H361)+1,""))</f>
        <v> </v>
      </c>
    </row>
    <row r="363" spans="8:8">
      <c r="H363" s="23" t="str">
        <f>IF('Bets'!C360="","",IF(COUNTIF('Bets'!$C$2:C360,'Bets'!C360)=1,MAX($H$4:H362)+1,""))</f>
        <v> </v>
      </c>
    </row>
    <row r="364" spans="8:8">
      <c r="H364" s="23" t="str">
        <f>IF('Bets'!C361="","",IF(COUNTIF('Bets'!$C$2:C361,'Bets'!C361)=1,MAX($H$4:H363)+1,""))</f>
        <v> </v>
      </c>
    </row>
    <row r="365" spans="8:8">
      <c r="H365" s="23" t="str">
        <f>IF('Bets'!C362="","",IF(COUNTIF('Bets'!$C$2:C362,'Bets'!C362)=1,MAX($H$4:H364)+1,""))</f>
        <v> </v>
      </c>
    </row>
    <row r="366" spans="8:8">
      <c r="H366" s="23" t="str">
        <f>IF('Bets'!C363="","",IF(COUNTIF('Bets'!$C$2:C363,'Bets'!C363)=1,MAX($H$4:H365)+1,""))</f>
        <v> </v>
      </c>
    </row>
    <row r="367" spans="8:8">
      <c r="H367" s="23" t="str">
        <f>IF('Bets'!C364="","",IF(COUNTIF('Bets'!$C$2:C364,'Bets'!C364)=1,MAX($H$4:H366)+1,""))</f>
        <v> </v>
      </c>
    </row>
    <row r="368" spans="8:8">
      <c r="H368" s="23" t="str">
        <f>IF('Bets'!C365="","",IF(COUNTIF('Bets'!$C$2:C365,'Bets'!C365)=1,MAX($H$4:H367)+1,""))</f>
        <v> </v>
      </c>
    </row>
    <row r="369" spans="8:8">
      <c r="H369" s="23" t="str">
        <f>IF('Bets'!C366="","",IF(COUNTIF('Bets'!$C$2:C366,'Bets'!C366)=1,MAX($H$4:H368)+1,""))</f>
        <v> </v>
      </c>
    </row>
    <row r="370" spans="8:8">
      <c r="H370" s="23" t="str">
        <f>IF('Bets'!C367="","",IF(COUNTIF('Bets'!$C$2:C367,'Bets'!C367)=1,MAX($H$4:H369)+1,""))</f>
        <v> </v>
      </c>
    </row>
    <row r="371" spans="8:8">
      <c r="H371" s="23" t="str">
        <f>IF('Bets'!C368="","",IF(COUNTIF('Bets'!$C$2:C368,'Bets'!C368)=1,MAX($H$4:H370)+1,""))</f>
        <v> </v>
      </c>
    </row>
    <row r="372" spans="8:8">
      <c r="H372" s="23" t="str">
        <f>IF('Bets'!C369="","",IF(COUNTIF('Bets'!$C$2:C369,'Bets'!C369)=1,MAX($H$4:H371)+1,""))</f>
        <v> </v>
      </c>
    </row>
    <row r="373" spans="8:8">
      <c r="H373" s="23" t="str">
        <f>IF('Bets'!C370="","",IF(COUNTIF('Bets'!$C$2:C370,'Bets'!C370)=1,MAX($H$4:H372)+1,""))</f>
        <v> </v>
      </c>
    </row>
    <row r="374" spans="8:8">
      <c r="H374" s="23" t="str">
        <f>IF('Bets'!C371="","",IF(COUNTIF('Bets'!$C$2:C371,'Bets'!C371)=1,MAX($H$4:H373)+1,""))</f>
        <v> </v>
      </c>
    </row>
    <row r="375" spans="8:8">
      <c r="H375" s="23" t="str">
        <f>IF('Bets'!C372="","",IF(COUNTIF('Bets'!$C$2:C372,'Bets'!C372)=1,MAX($H$4:H374)+1,""))</f>
        <v> </v>
      </c>
    </row>
    <row r="376" spans="8:8">
      <c r="H376" s="23" t="str">
        <f>IF('Bets'!C373="","",IF(COUNTIF('Bets'!$C$2:C373,'Bets'!C373)=1,MAX($H$4:H375)+1,""))</f>
        <v> </v>
      </c>
    </row>
    <row r="377" spans="8:8">
      <c r="H377" s="23" t="str">
        <f>IF('Bets'!C374="","",IF(COUNTIF('Bets'!$C$2:C374,'Bets'!C374)=1,MAX($H$4:H376)+1,""))</f>
        <v> </v>
      </c>
    </row>
    <row r="378" spans="8:8">
      <c r="H378" s="23" t="str">
        <f>IF('Bets'!C375="","",IF(COUNTIF('Bets'!$C$2:C375,'Bets'!C375)=1,MAX($H$4:H377)+1,""))</f>
        <v> </v>
      </c>
    </row>
    <row r="379" spans="8:8">
      <c r="H379" s="23" t="str">
        <f>IF('Bets'!C376="","",IF(COUNTIF('Bets'!$C$2:C376,'Bets'!C376)=1,MAX($H$4:H378)+1,""))</f>
        <v> </v>
      </c>
    </row>
    <row r="380" spans="8:8">
      <c r="H380" s="23" t="str">
        <f>IF('Bets'!C377="","",IF(COUNTIF('Bets'!$C$2:C377,'Bets'!C377)=1,MAX($H$4:H379)+1,""))</f>
        <v> </v>
      </c>
    </row>
    <row r="381" spans="8:8">
      <c r="H381" s="23" t="str">
        <f>IF('Bets'!C378="","",IF(COUNTIF('Bets'!$C$2:C378,'Bets'!C378)=1,MAX($H$4:H380)+1,""))</f>
        <v> </v>
      </c>
    </row>
    <row r="382" spans="8:8">
      <c r="H382" s="23" t="str">
        <f>IF('Bets'!C379="","",IF(COUNTIF('Bets'!$C$2:C379,'Bets'!C379)=1,MAX($H$4:H381)+1,""))</f>
        <v> </v>
      </c>
    </row>
    <row r="383" spans="8:8">
      <c r="H383" s="23" t="str">
        <f>IF('Bets'!C380="","",IF(COUNTIF('Bets'!$C$2:C380,'Bets'!C380)=1,MAX($H$4:H382)+1,""))</f>
        <v> </v>
      </c>
    </row>
    <row r="384" spans="8:8">
      <c r="H384" s="23" t="str">
        <f>IF('Bets'!C381="","",IF(COUNTIF('Bets'!$C$2:C381,'Bets'!C381)=1,MAX($H$4:H383)+1,""))</f>
        <v> </v>
      </c>
    </row>
    <row r="385" spans="8:8">
      <c r="H385" s="23" t="str">
        <f>IF('Bets'!C382="","",IF(COUNTIF('Bets'!$C$2:C382,'Bets'!C382)=1,MAX($H$4:H384)+1,""))</f>
        <v> </v>
      </c>
    </row>
    <row r="386" spans="8:8">
      <c r="H386" s="23" t="str">
        <f>IF('Bets'!C383="","",IF(COUNTIF('Bets'!$C$2:C383,'Bets'!C383)=1,MAX($H$4:H385)+1,""))</f>
        <v> </v>
      </c>
    </row>
    <row r="387" spans="8:8">
      <c r="H387" s="23" t="str">
        <f>IF('Bets'!C384="","",IF(COUNTIF('Bets'!$C$2:C384,'Bets'!C384)=1,MAX($H$4:H386)+1,""))</f>
        <v> </v>
      </c>
    </row>
    <row r="388" spans="8:8">
      <c r="H388" s="23" t="str">
        <f>IF('Bets'!C385="","",IF(COUNTIF('Bets'!$C$2:C385,'Bets'!C385)=1,MAX($H$4:H387)+1,""))</f>
        <v> </v>
      </c>
    </row>
    <row r="389" spans="8:8">
      <c r="H389" s="23" t="str">
        <f>IF('Bets'!C386="","",IF(COUNTIF('Bets'!$C$2:C386,'Bets'!C386)=1,MAX($H$4:H388)+1,""))</f>
        <v> </v>
      </c>
    </row>
    <row r="390" spans="8:8">
      <c r="H390" s="23" t="str">
        <f>IF('Bets'!C387="","",IF(COUNTIF('Bets'!$C$2:C387,'Bets'!C387)=1,MAX($H$4:H389)+1,""))</f>
        <v> </v>
      </c>
    </row>
    <row r="391" spans="8:8">
      <c r="H391" s="23" t="str">
        <f>IF('Bets'!C388="","",IF(COUNTIF('Bets'!$C$2:C388,'Bets'!C388)=1,MAX($H$4:H390)+1,""))</f>
        <v> </v>
      </c>
    </row>
    <row r="392" spans="8:8">
      <c r="H392" s="23" t="str">
        <f>IF('Bets'!C389="","",IF(COUNTIF('Bets'!$C$2:C389,'Bets'!C389)=1,MAX($H$4:H391)+1,""))</f>
        <v> </v>
      </c>
    </row>
    <row r="393" spans="8:8">
      <c r="H393" s="23" t="str">
        <f>IF('Bets'!C390="","",IF(COUNTIF('Bets'!$C$2:C390,'Bets'!C390)=1,MAX($H$4:H392)+1,""))</f>
        <v> </v>
      </c>
    </row>
    <row r="394" spans="8:8">
      <c r="H394" s="23" t="str">
        <f>IF('Bets'!C391="","",IF(COUNTIF('Bets'!$C$2:C391,'Bets'!C391)=1,MAX($H$4:H393)+1,""))</f>
        <v> </v>
      </c>
    </row>
    <row r="395" spans="8:8">
      <c r="H395" s="23" t="str">
        <f>IF('Bets'!C392="","",IF(COUNTIF('Bets'!$C$2:C392,'Bets'!C392)=1,MAX($H$4:H394)+1,""))</f>
        <v> </v>
      </c>
    </row>
    <row r="396" spans="8:8">
      <c r="H396" s="23" t="str">
        <f>IF('Bets'!C393="","",IF(COUNTIF('Bets'!$C$2:C393,'Bets'!C393)=1,MAX($H$4:H395)+1,""))</f>
        <v> </v>
      </c>
    </row>
    <row r="397" spans="8:8">
      <c r="H397" s="23" t="str">
        <f>IF('Bets'!C394="","",IF(COUNTIF('Bets'!$C$2:C394,'Bets'!C394)=1,MAX($H$4:H396)+1,""))</f>
        <v> </v>
      </c>
    </row>
    <row r="398" spans="8:8">
      <c r="H398" s="23" t="str">
        <f>IF('Bets'!C395="","",IF(COUNTIF('Bets'!$C$2:C395,'Bets'!C395)=1,MAX($H$4:H397)+1,""))</f>
        <v> </v>
      </c>
    </row>
    <row r="399" spans="8:8">
      <c r="H399" s="23" t="str">
        <f>IF('Bets'!C396="","",IF(COUNTIF('Bets'!$C$2:C396,'Bets'!C396)=1,MAX($H$4:H398)+1,""))</f>
        <v> </v>
      </c>
    </row>
    <row r="400" spans="8:8">
      <c r="H400" s="23" t="str">
        <f>IF('Bets'!C397="","",IF(COUNTIF('Bets'!$C$2:C397,'Bets'!C397)=1,MAX($H$4:H399)+1,""))</f>
        <v> </v>
      </c>
    </row>
    <row r="401" spans="8:8">
      <c r="H401" s="23" t="str">
        <f>IF('Bets'!C398="","",IF(COUNTIF('Bets'!$C$2:C398,'Bets'!C398)=1,MAX($H$4:H400)+1,""))</f>
        <v> </v>
      </c>
    </row>
    <row r="402" spans="8:8">
      <c r="H402" s="23" t="str">
        <f>IF('Bets'!C399="","",IF(COUNTIF('Bets'!$C$2:C399,'Bets'!C399)=1,MAX($H$4:H401)+1,""))</f>
        <v> </v>
      </c>
    </row>
    <row r="403" spans="8:8">
      <c r="H403" s="23" t="str">
        <f>IF('Bets'!C400="","",IF(COUNTIF('Bets'!$C$2:C400,'Bets'!C400)=1,MAX($H$4:H402)+1,""))</f>
        <v> </v>
      </c>
    </row>
    <row r="404" spans="8:8">
      <c r="H404" s="23" t="str">
        <f>IF('Bets'!C401="","",IF(COUNTIF('Bets'!$C$2:C401,'Bets'!C401)=1,MAX($H$4:H403)+1,""))</f>
        <v> </v>
      </c>
    </row>
    <row r="405" spans="8:8">
      <c r="H405" s="23" t="str">
        <f>IF('Bets'!C402="","",IF(COUNTIF('Bets'!$C$2:C402,'Bets'!C402)=1,MAX($H$4:H404)+1,""))</f>
        <v> </v>
      </c>
    </row>
    <row r="406" spans="8:8">
      <c r="H406" s="23" t="str">
        <f>IF('Bets'!C403="","",IF(COUNTIF('Bets'!$C$2:C403,'Bets'!C403)=1,MAX($H$4:H405)+1,""))</f>
        <v> </v>
      </c>
    </row>
    <row r="407" spans="8:8">
      <c r="H407" s="23" t="str">
        <f>IF('Bets'!C404="","",IF(COUNTIF('Bets'!$C$2:C404,'Bets'!C404)=1,MAX($H$4:H406)+1,""))</f>
        <v> </v>
      </c>
    </row>
    <row r="408" spans="8:8">
      <c r="H408" s="23" t="str">
        <f>IF('Bets'!C405="","",IF(COUNTIF('Bets'!$C$2:C405,'Bets'!C405)=1,MAX($H$4:H407)+1,""))</f>
        <v> </v>
      </c>
    </row>
    <row r="409" spans="8:8">
      <c r="H409" s="23" t="str">
        <f>IF('Bets'!C406="","",IF(COUNTIF('Bets'!$C$2:C406,'Bets'!C406)=1,MAX($H$4:H408)+1,""))</f>
        <v> </v>
      </c>
    </row>
    <row r="410" spans="8:8">
      <c r="H410" s="23" t="str">
        <f>IF('Bets'!C407="","",IF(COUNTIF('Bets'!$C$2:C407,'Bets'!C407)=1,MAX($H$4:H409)+1,""))</f>
        <v> </v>
      </c>
    </row>
    <row r="411" spans="8:8">
      <c r="H411" s="23" t="str">
        <f>IF('Bets'!C408="","",IF(COUNTIF('Bets'!$C$2:C408,'Bets'!C408)=1,MAX($H$4:H410)+1,""))</f>
        <v> </v>
      </c>
    </row>
    <row r="412" spans="8:8">
      <c r="H412" s="23" t="str">
        <f>IF('Bets'!C409="","",IF(COUNTIF('Bets'!$C$2:C409,'Bets'!C409)=1,MAX($H$4:H411)+1,""))</f>
        <v> </v>
      </c>
    </row>
    <row r="413" spans="8:8">
      <c r="H413" s="23" t="str">
        <f>IF('Bets'!C410="","",IF(COUNTIF('Bets'!$C$2:C410,'Bets'!C410)=1,MAX($H$4:H412)+1,""))</f>
        <v> </v>
      </c>
    </row>
    <row r="414" spans="8:8">
      <c r="H414" s="23" t="str">
        <f>IF('Bets'!C411="","",IF(COUNTIF('Bets'!$C$2:C411,'Bets'!C411)=1,MAX($H$4:H413)+1,""))</f>
        <v> </v>
      </c>
    </row>
    <row r="415" spans="8:8">
      <c r="H415" s="23" t="str">
        <f>IF('Bets'!C412="","",IF(COUNTIF('Bets'!$C$2:C412,'Bets'!C412)=1,MAX($H$4:H414)+1,""))</f>
        <v> </v>
      </c>
    </row>
    <row r="416" spans="8:8">
      <c r="H416" s="23" t="str">
        <f>IF('Bets'!C413="","",IF(COUNTIF('Bets'!$C$2:C413,'Bets'!C413)=1,MAX($H$4:H415)+1,""))</f>
        <v> </v>
      </c>
    </row>
    <row r="417" spans="8:8">
      <c r="H417" s="23" t="str">
        <f>IF('Bets'!C414="","",IF(COUNTIF('Bets'!$C$2:C414,'Bets'!C414)=1,MAX($H$4:H416)+1,""))</f>
        <v> </v>
      </c>
    </row>
    <row r="418" spans="8:8">
      <c r="H418" s="23" t="str">
        <f>IF('Bets'!C415="","",IF(COUNTIF('Bets'!$C$2:C415,'Bets'!C415)=1,MAX($H$4:H417)+1,""))</f>
        <v> </v>
      </c>
    </row>
    <row r="419" spans="8:8">
      <c r="H419" s="23" t="str">
        <f>IF('Bets'!C416="","",IF(COUNTIF('Bets'!$C$2:C416,'Bets'!C416)=1,MAX($H$4:H418)+1,""))</f>
        <v> </v>
      </c>
    </row>
    <row r="420" spans="8:8">
      <c r="H420" s="23" t="str">
        <f>IF('Bets'!C417="","",IF(COUNTIF('Bets'!$C$2:C417,'Bets'!C417)=1,MAX($H$4:H419)+1,""))</f>
        <v> </v>
      </c>
    </row>
    <row r="421" spans="8:8">
      <c r="H421" s="23" t="str">
        <f>IF('Bets'!C418="","",IF(COUNTIF('Bets'!$C$2:C418,'Bets'!C418)=1,MAX($H$4:H420)+1,""))</f>
        <v> </v>
      </c>
    </row>
    <row r="422" spans="8:8">
      <c r="H422" s="23" t="str">
        <f>IF('Bets'!C419="","",IF(COUNTIF('Bets'!$C$2:C419,'Bets'!C419)=1,MAX($H$4:H421)+1,""))</f>
        <v> </v>
      </c>
    </row>
    <row r="423" spans="8:8">
      <c r="H423" s="23" t="str">
        <f>IF('Bets'!C420="","",IF(COUNTIF('Bets'!$C$2:C420,'Bets'!C420)=1,MAX($H$4:H422)+1,""))</f>
        <v> </v>
      </c>
    </row>
    <row r="424" spans="8:8">
      <c r="H424" s="23" t="str">
        <f>IF('Bets'!C421="","",IF(COUNTIF('Bets'!$C$2:C421,'Bets'!C421)=1,MAX($H$4:H423)+1,""))</f>
        <v> </v>
      </c>
    </row>
    <row r="425" spans="8:8">
      <c r="H425" s="23" t="str">
        <f>IF('Bets'!C422="","",IF(COUNTIF('Bets'!$C$2:C422,'Bets'!C422)=1,MAX($H$4:H424)+1,""))</f>
        <v> </v>
      </c>
    </row>
    <row r="426" spans="8:8">
      <c r="H426" s="23" t="str">
        <f>IF('Bets'!C423="","",IF(COUNTIF('Bets'!$C$2:C423,'Bets'!C423)=1,MAX($H$4:H425)+1,""))</f>
        <v> </v>
      </c>
    </row>
    <row r="427" spans="8:8">
      <c r="H427" s="23" t="str">
        <f>IF('Bets'!C424="","",IF(COUNTIF('Bets'!$C$2:C424,'Bets'!C424)=1,MAX($H$4:H426)+1,""))</f>
        <v> </v>
      </c>
    </row>
    <row r="428" spans="8:8">
      <c r="H428" s="23" t="str">
        <f>IF('Bets'!C425="","",IF(COUNTIF('Bets'!$C$2:C425,'Bets'!C425)=1,MAX($H$4:H427)+1,""))</f>
        <v> </v>
      </c>
    </row>
    <row r="429" spans="8:8">
      <c r="H429" s="23" t="str">
        <f>IF('Bets'!C426="","",IF(COUNTIF('Bets'!$C$2:C426,'Bets'!C426)=1,MAX($H$4:H428)+1,""))</f>
        <v> </v>
      </c>
    </row>
    <row r="430" spans="8:8">
      <c r="H430" s="23" t="str">
        <f>IF('Bets'!C427="","",IF(COUNTIF('Bets'!$C$2:C427,'Bets'!C427)=1,MAX($H$4:H429)+1,""))</f>
        <v> </v>
      </c>
    </row>
    <row r="431" spans="8:8">
      <c r="H431" s="23" t="str">
        <f>IF('Bets'!C428="","",IF(COUNTIF('Bets'!$C$2:C428,'Bets'!C428)=1,MAX($H$4:H430)+1,""))</f>
        <v> </v>
      </c>
    </row>
    <row r="432" spans="8:8">
      <c r="H432" s="23" t="str">
        <f>IF('Bets'!C429="","",IF(COUNTIF('Bets'!$C$2:C429,'Bets'!C429)=1,MAX($H$4:H431)+1,""))</f>
        <v> </v>
      </c>
    </row>
    <row r="433" spans="8:8">
      <c r="H433" s="23" t="str">
        <f>IF('Bets'!C430="","",IF(COUNTIF('Bets'!$C$2:C430,'Bets'!C430)=1,MAX($H$4:H432)+1,""))</f>
        <v> </v>
      </c>
    </row>
    <row r="434" spans="8:8">
      <c r="H434" s="23" t="str">
        <f>IF('Bets'!C431="","",IF(COUNTIF('Bets'!$C$2:C431,'Bets'!C431)=1,MAX($H$4:H433)+1,""))</f>
        <v> </v>
      </c>
    </row>
    <row r="435" spans="8:8">
      <c r="H435" s="23" t="str">
        <f>IF('Bets'!C432="","",IF(COUNTIF('Bets'!$C$2:C432,'Bets'!C432)=1,MAX($H$4:H434)+1,""))</f>
        <v> </v>
      </c>
    </row>
    <row r="436" spans="8:8">
      <c r="H436" s="23" t="str">
        <f>IF('Bets'!C433="","",IF(COUNTIF('Bets'!$C$2:C433,'Bets'!C433)=1,MAX($H$4:H435)+1,""))</f>
        <v> </v>
      </c>
    </row>
    <row r="437" spans="8:8">
      <c r="H437" s="23" t="str">
        <f>IF('Bets'!C434="","",IF(COUNTIF('Bets'!$C$2:C434,'Bets'!C434)=1,MAX($H$4:H436)+1,""))</f>
        <v> </v>
      </c>
    </row>
    <row r="438" spans="8:8">
      <c r="H438" s="23" t="str">
        <f>IF('Bets'!C435="","",IF(COUNTIF('Bets'!$C$2:C435,'Bets'!C435)=1,MAX($H$4:H437)+1,""))</f>
        <v> </v>
      </c>
    </row>
    <row r="439" spans="8:8">
      <c r="H439" s="23" t="str">
        <f>IF('Bets'!C436="","",IF(COUNTIF('Bets'!$C$2:C436,'Bets'!C436)=1,MAX($H$4:H438)+1,""))</f>
        <v> </v>
      </c>
    </row>
    <row r="440" spans="8:8">
      <c r="H440" s="23" t="str">
        <f>IF('Bets'!C437="","",IF(COUNTIF('Bets'!$C$2:C437,'Bets'!C437)=1,MAX($H$4:H439)+1,""))</f>
        <v> </v>
      </c>
    </row>
    <row r="441" spans="8:8">
      <c r="H441" s="23" t="str">
        <f>IF('Bets'!C438="","",IF(COUNTIF('Bets'!$C$2:C438,'Bets'!C438)=1,MAX($H$4:H440)+1,""))</f>
        <v> </v>
      </c>
    </row>
    <row r="442" spans="8:8">
      <c r="H442" s="23" t="str">
        <f>IF('Bets'!C439="","",IF(COUNTIF('Bets'!$C$2:C439,'Bets'!C439)=1,MAX($H$4:H441)+1,""))</f>
        <v> </v>
      </c>
    </row>
    <row r="443" spans="8:8">
      <c r="H443" s="23" t="str">
        <f>IF('Bets'!C440="","",IF(COUNTIF('Bets'!$C$2:C440,'Bets'!C440)=1,MAX($H$4:H442)+1,""))</f>
        <v> </v>
      </c>
    </row>
    <row r="444" spans="8:8">
      <c r="H444" s="23" t="str">
        <f>IF('Bets'!C441="","",IF(COUNTIF('Bets'!$C$2:C441,'Bets'!C441)=1,MAX($H$4:H443)+1,""))</f>
        <v> </v>
      </c>
    </row>
    <row r="445" spans="8:8">
      <c r="H445" s="23" t="str">
        <f>IF('Bets'!C442="","",IF(COUNTIF('Bets'!$C$2:C442,'Bets'!C442)=1,MAX($H$4:H444)+1,""))</f>
        <v> </v>
      </c>
    </row>
    <row r="446" spans="8:8">
      <c r="H446" s="23" t="str">
        <f>IF('Bets'!C443="","",IF(COUNTIF('Bets'!$C$2:C443,'Bets'!C443)=1,MAX($H$4:H445)+1,""))</f>
        <v> </v>
      </c>
    </row>
    <row r="447" spans="8:8">
      <c r="H447" s="23" t="str">
        <f>IF('Bets'!C444="","",IF(COUNTIF('Bets'!$C$2:C444,'Bets'!C444)=1,MAX($H$4:H446)+1,""))</f>
        <v> </v>
      </c>
    </row>
    <row r="448" spans="8:8">
      <c r="H448" s="23" t="str">
        <f>IF('Bets'!C445="","",IF(COUNTIF('Bets'!$C$2:C445,'Bets'!C445)=1,MAX($H$4:H447)+1,""))</f>
        <v> </v>
      </c>
    </row>
    <row r="449" spans="8:8">
      <c r="H449" s="23" t="str">
        <f>IF('Bets'!C446="","",IF(COUNTIF('Bets'!$C$2:C446,'Bets'!C446)=1,MAX($H$4:H448)+1,""))</f>
        <v> </v>
      </c>
    </row>
    <row r="450" spans="8:8">
      <c r="H450" s="23" t="str">
        <f>IF('Bets'!C447="","",IF(COUNTIF('Bets'!$C$2:C447,'Bets'!C447)=1,MAX($H$4:H449)+1,""))</f>
        <v> </v>
      </c>
    </row>
    <row r="451" spans="8:8">
      <c r="H451" s="23" t="str">
        <f>IF('Bets'!C448="","",IF(COUNTIF('Bets'!$C$2:C448,'Bets'!C448)=1,MAX($H$4:H450)+1,""))</f>
        <v> </v>
      </c>
    </row>
    <row r="452" spans="8:8">
      <c r="H452" s="23" t="str">
        <f>IF('Bets'!C449="","",IF(COUNTIF('Bets'!$C$2:C449,'Bets'!C449)=1,MAX($H$4:H451)+1,""))</f>
        <v> </v>
      </c>
    </row>
    <row r="453" spans="8:8">
      <c r="H453" s="23" t="str">
        <f>IF('Bets'!C450="","",IF(COUNTIF('Bets'!$C$2:C450,'Bets'!C450)=1,MAX($H$4:H452)+1,""))</f>
        <v> </v>
      </c>
    </row>
    <row r="454" spans="8:8">
      <c r="H454" s="23" t="str">
        <f>IF('Bets'!C451="","",IF(COUNTIF('Bets'!$C$2:C451,'Bets'!C451)=1,MAX($H$4:H453)+1,""))</f>
        <v> </v>
      </c>
    </row>
    <row r="455" spans="8:8">
      <c r="H455" s="23" t="str">
        <f>IF('Bets'!C452="","",IF(COUNTIF('Bets'!$C$2:C452,'Bets'!C452)=1,MAX($H$4:H454)+1,""))</f>
        <v> </v>
      </c>
    </row>
    <row r="456" spans="8:8">
      <c r="H456" s="23" t="str">
        <f>IF('Bets'!C453="","",IF(COUNTIF('Bets'!$C$2:C453,'Bets'!C453)=1,MAX($H$4:H455)+1,""))</f>
        <v> </v>
      </c>
    </row>
    <row r="457" spans="8:8">
      <c r="H457" s="23" t="str">
        <f>IF('Bets'!C454="","",IF(COUNTIF('Bets'!$C$2:C454,'Bets'!C454)=1,MAX($H$4:H456)+1,""))</f>
        <v> </v>
      </c>
    </row>
    <row r="458" spans="8:8">
      <c r="H458" s="23" t="str">
        <f>IF('Bets'!C455="","",IF(COUNTIF('Bets'!$C$2:C455,'Bets'!C455)=1,MAX($H$4:H457)+1,""))</f>
        <v> </v>
      </c>
    </row>
    <row r="459" spans="8:8">
      <c r="H459" s="23" t="str">
        <f>IF('Bets'!C456="","",IF(COUNTIF('Bets'!$C$2:C456,'Bets'!C456)=1,MAX($H$4:H458)+1,""))</f>
        <v> </v>
      </c>
    </row>
    <row r="460" spans="8:8">
      <c r="H460" s="23" t="str">
        <f>IF('Bets'!C457="","",IF(COUNTIF('Bets'!$C$2:C457,'Bets'!C457)=1,MAX($H$4:H459)+1,""))</f>
        <v> </v>
      </c>
    </row>
    <row r="461" spans="8:8">
      <c r="H461" s="23" t="str">
        <f>IF('Bets'!C458="","",IF(COUNTIF('Bets'!$C$2:C458,'Bets'!C458)=1,MAX($H$4:H460)+1,""))</f>
        <v> </v>
      </c>
    </row>
    <row r="462" spans="8:8">
      <c r="H462" s="23" t="str">
        <f>IF('Bets'!C459="","",IF(COUNTIF('Bets'!$C$2:C459,'Bets'!C459)=1,MAX($H$4:H461)+1,""))</f>
        <v> </v>
      </c>
    </row>
    <row r="463" spans="8:8">
      <c r="H463" s="23" t="str">
        <f>IF('Bets'!C460="","",IF(COUNTIF('Bets'!$C$2:C460,'Bets'!C460)=1,MAX($H$4:H462)+1,""))</f>
        <v> </v>
      </c>
    </row>
    <row r="464" spans="8:8">
      <c r="H464" s="23" t="str">
        <f>IF('Bets'!C461="","",IF(COUNTIF('Bets'!$C$2:C461,'Bets'!C461)=1,MAX($H$4:H463)+1,""))</f>
        <v> </v>
      </c>
    </row>
    <row r="465" spans="8:8">
      <c r="H465" s="23" t="str">
        <f>IF('Bets'!C462="","",IF(COUNTIF('Bets'!$C$2:C462,'Bets'!C462)=1,MAX($H$4:H464)+1,""))</f>
        <v> </v>
      </c>
    </row>
    <row r="466" spans="8:8">
      <c r="H466" s="23" t="str">
        <f>IF('Bets'!C463="","",IF(COUNTIF('Bets'!$C$2:C463,'Bets'!C463)=1,MAX($H$4:H465)+1,""))</f>
        <v> </v>
      </c>
    </row>
    <row r="467" spans="8:8">
      <c r="H467" s="23" t="str">
        <f>IF('Bets'!C464="","",IF(COUNTIF('Bets'!$C$2:C464,'Bets'!C464)=1,MAX($H$4:H466)+1,""))</f>
        <v> </v>
      </c>
    </row>
    <row r="468" spans="8:8">
      <c r="H468" s="23" t="str">
        <f>IF('Bets'!C465="","",IF(COUNTIF('Bets'!$C$2:C465,'Bets'!C465)=1,MAX($H$4:H467)+1,""))</f>
        <v> </v>
      </c>
    </row>
    <row r="469" spans="8:8">
      <c r="H469" s="23" t="str">
        <f>IF('Bets'!C466="","",IF(COUNTIF('Bets'!$C$2:C466,'Bets'!C466)=1,MAX($H$4:H468)+1,""))</f>
        <v> </v>
      </c>
    </row>
    <row r="470" spans="8:8">
      <c r="H470" s="23" t="str">
        <f>IF('Bets'!C467="","",IF(COUNTIF('Bets'!$C$2:C467,'Bets'!C467)=1,MAX($H$4:H469)+1,""))</f>
        <v> </v>
      </c>
    </row>
    <row r="471" spans="8:8">
      <c r="H471" s="23" t="str">
        <f>IF('Bets'!C468="","",IF(COUNTIF('Bets'!$C$2:C468,'Bets'!C468)=1,MAX($H$4:H470)+1,""))</f>
        <v> </v>
      </c>
    </row>
    <row r="472" spans="8:8">
      <c r="H472" s="23" t="str">
        <f>IF('Bets'!C469="","",IF(COUNTIF('Bets'!$C$2:C469,'Bets'!C469)=1,MAX($H$4:H471)+1,""))</f>
        <v> </v>
      </c>
    </row>
    <row r="473" spans="8:8">
      <c r="H473" s="23" t="str">
        <f>IF('Bets'!C470="","",IF(COUNTIF('Bets'!$C$2:C470,'Bets'!C470)=1,MAX($H$4:H472)+1,""))</f>
        <v> </v>
      </c>
    </row>
    <row r="474" spans="8:8">
      <c r="H474" s="23" t="str">
        <f>IF('Bets'!C471="","",IF(COUNTIF('Bets'!$C$2:C471,'Bets'!C471)=1,MAX($H$4:H473)+1,""))</f>
        <v> </v>
      </c>
    </row>
    <row r="475" spans="8:8">
      <c r="H475" s="23" t="str">
        <f>IF('Bets'!C472="","",IF(COUNTIF('Bets'!$C$2:C472,'Bets'!C472)=1,MAX($H$4:H474)+1,""))</f>
        <v> </v>
      </c>
    </row>
    <row r="476" spans="8:8">
      <c r="H476" s="23" t="str">
        <f>IF('Bets'!C473="","",IF(COUNTIF('Bets'!$C$2:C473,'Bets'!C473)=1,MAX($H$4:H475)+1,""))</f>
        <v> </v>
      </c>
    </row>
    <row r="477" spans="8:8">
      <c r="H477" s="23" t="str">
        <f>IF('Bets'!C474="","",IF(COUNTIF('Bets'!$C$2:C474,'Bets'!C474)=1,MAX($H$4:H476)+1,""))</f>
        <v> </v>
      </c>
    </row>
    <row r="478" spans="8:8">
      <c r="H478" s="23" t="str">
        <f>IF('Bets'!C475="","",IF(COUNTIF('Bets'!$C$2:C475,'Bets'!C475)=1,MAX($H$4:H477)+1,""))</f>
        <v> </v>
      </c>
    </row>
    <row r="479" spans="8:8">
      <c r="H479" s="23" t="str">
        <f>IF('Bets'!C476="","",IF(COUNTIF('Bets'!$C$2:C476,'Bets'!C476)=1,MAX($H$4:H478)+1,""))</f>
        <v> </v>
      </c>
    </row>
    <row r="480" spans="8:8">
      <c r="H480" s="23" t="str">
        <f>IF('Bets'!C477="","",IF(COUNTIF('Bets'!$C$2:C477,'Bets'!C477)=1,MAX($H$4:H479)+1,""))</f>
        <v> </v>
      </c>
    </row>
    <row r="481" spans="8:8">
      <c r="H481" s="23" t="str">
        <f>IF('Bets'!C478="","",IF(COUNTIF('Bets'!$C$2:C478,'Bets'!C478)=1,MAX($H$4:H480)+1,""))</f>
        <v> </v>
      </c>
    </row>
    <row r="482" spans="8:8">
      <c r="H482" s="23" t="str">
        <f>IF('Bets'!C479="","",IF(COUNTIF('Bets'!$C$2:C479,'Bets'!C479)=1,MAX($H$4:H481)+1,""))</f>
        <v> </v>
      </c>
    </row>
    <row r="483" spans="8:8">
      <c r="H483" s="23" t="str">
        <f>IF('Bets'!C480="","",IF(COUNTIF('Bets'!$C$2:C480,'Bets'!C480)=1,MAX($H$4:H482)+1,""))</f>
        <v> </v>
      </c>
    </row>
    <row r="484" spans="8:8">
      <c r="H484" s="23" t="str">
        <f>IF('Bets'!C481="","",IF(COUNTIF('Bets'!$C$2:C481,'Bets'!C481)=1,MAX($H$4:H483)+1,""))</f>
        <v> </v>
      </c>
    </row>
    <row r="485" spans="8:8">
      <c r="H485" s="23" t="str">
        <f>IF('Bets'!C482="","",IF(COUNTIF('Bets'!$C$2:C482,'Bets'!C482)=1,MAX($H$4:H484)+1,""))</f>
        <v> </v>
      </c>
    </row>
    <row r="486" spans="8:8">
      <c r="H486" s="23" t="str">
        <f>IF('Bets'!C483="","",IF(COUNTIF('Bets'!$C$2:C483,'Bets'!C483)=1,MAX($H$4:H485)+1,""))</f>
        <v> </v>
      </c>
    </row>
    <row r="487" spans="8:8">
      <c r="H487" s="23" t="str">
        <f>IF('Bets'!C484="","",IF(COUNTIF('Bets'!$C$2:C484,'Bets'!C484)=1,MAX($H$4:H486)+1,""))</f>
        <v> </v>
      </c>
    </row>
    <row r="488" spans="8:8">
      <c r="H488" s="23" t="str">
        <f>IF('Bets'!C485="","",IF(COUNTIF('Bets'!$C$2:C485,'Bets'!C485)=1,MAX($H$4:H487)+1,""))</f>
        <v> </v>
      </c>
    </row>
    <row r="489" spans="8:8">
      <c r="H489" s="23" t="str">
        <f>IF('Bets'!C486="","",IF(COUNTIF('Bets'!$C$2:C486,'Bets'!C486)=1,MAX($H$4:H488)+1,""))</f>
        <v> </v>
      </c>
    </row>
    <row r="490" spans="8:8">
      <c r="H490" s="23" t="str">
        <f>IF('Bets'!C487="","",IF(COUNTIF('Bets'!$C$2:C487,'Bets'!C487)=1,MAX($H$4:H489)+1,""))</f>
        <v> </v>
      </c>
    </row>
    <row r="491" spans="8:8">
      <c r="H491" s="23" t="str">
        <f>IF('Bets'!C488="","",IF(COUNTIF('Bets'!$C$2:C488,'Bets'!C488)=1,MAX($H$4:H490)+1,""))</f>
        <v> </v>
      </c>
    </row>
    <row r="492" spans="8:8">
      <c r="H492" s="23" t="str">
        <f>IF('Bets'!C489="","",IF(COUNTIF('Bets'!$C$2:C489,'Bets'!C489)=1,MAX($H$4:H491)+1,""))</f>
        <v> </v>
      </c>
    </row>
    <row r="493" spans="8:8">
      <c r="H493" s="23" t="str">
        <f>IF('Bets'!C490="","",IF(COUNTIF('Bets'!$C$2:C490,'Bets'!C490)=1,MAX($H$4:H492)+1,""))</f>
        <v> </v>
      </c>
    </row>
    <row r="494" spans="8:8">
      <c r="H494" s="23" t="str">
        <f>IF('Bets'!C491="","",IF(COUNTIF('Bets'!$C$2:C491,'Bets'!C491)=1,MAX($H$4:H493)+1,""))</f>
        <v> </v>
      </c>
    </row>
    <row r="495" spans="8:8">
      <c r="H495" s="23" t="str">
        <f>IF('Bets'!C492="","",IF(COUNTIF('Bets'!$C$2:C492,'Bets'!C492)=1,MAX($H$4:H494)+1,""))</f>
        <v> </v>
      </c>
    </row>
    <row r="496" spans="8:8">
      <c r="H496" s="23" t="str">
        <f>IF('Bets'!C493="","",IF(COUNTIF('Bets'!$C$2:C493,'Bets'!C493)=1,MAX($H$4:H495)+1,""))</f>
        <v> </v>
      </c>
    </row>
    <row r="497" spans="8:8">
      <c r="H497" s="23" t="str">
        <f>IF('Bets'!C494="","",IF(COUNTIF('Bets'!$C$2:C494,'Bets'!C494)=1,MAX($H$4:H496)+1,""))</f>
        <v> </v>
      </c>
    </row>
    <row r="498" spans="8:8">
      <c r="H498" s="23" t="str">
        <f>IF('Bets'!C495="","",IF(COUNTIF('Bets'!$C$2:C495,'Bets'!C495)=1,MAX($H$4:H497)+1,""))</f>
        <v> </v>
      </c>
    </row>
    <row r="499" spans="8:8">
      <c r="H499" s="23" t="str">
        <f>IF('Bets'!C496="","",IF(COUNTIF('Bets'!$C$2:C496,'Bets'!C496)=1,MAX($H$4:H498)+1,""))</f>
        <v> </v>
      </c>
    </row>
    <row r="500" spans="8:8">
      <c r="H500" s="23" t="str">
        <f>IF('Bets'!C497="","",IF(COUNTIF('Bets'!$C$2:C497,'Bets'!C497)=1,MAX($H$4:H499)+1,""))</f>
        <v> </v>
      </c>
    </row>
    <row r="501" spans="8:8">
      <c r="H501" s="23" t="str">
        <f>IF('Bets'!C498="","",IF(COUNTIF('Bets'!$C$2:C498,'Bets'!C498)=1,MAX($H$4:H500)+1,""))</f>
        <v> </v>
      </c>
    </row>
    <row r="502" spans="8:8">
      <c r="H502" s="23" t="str">
        <f>IF('Bets'!C499="","",IF(COUNTIF('Bets'!$C$2:C499,'Bets'!C499)=1,MAX($H$4:H501)+1,""))</f>
        <v> </v>
      </c>
    </row>
    <row r="503" spans="8:8">
      <c r="H503" s="23" t="str">
        <f>IF('Bets'!C500="","",IF(COUNTIF('Bets'!$C$2:C500,'Bets'!C500)=1,MAX($H$4:H502)+1,""))</f>
        <v> </v>
      </c>
    </row>
    <row r="504" spans="8:8">
      <c r="H504" s="23" t="str">
        <f>IF('Bets'!C501="","",IF(COUNTIF('Bets'!$C$2:C501,'Bets'!C501)=1,MAX($H$4:H503)+1,""))</f>
        <v> </v>
      </c>
    </row>
    <row r="505" spans="8:8">
      <c r="H505" s="23" t="str">
        <f>IF('Bets'!C502="","",IF(COUNTIF('Bets'!$C$2:C502,'Bets'!C502)=1,MAX($H$4:H504)+1,""))</f>
        <v> </v>
      </c>
    </row>
    <row r="506" spans="8:8">
      <c r="H506" s="23" t="str">
        <f>IF('Bets'!C503="","",IF(COUNTIF('Bets'!$C$2:C503,'Bets'!C503)=1,MAX($H$4:H505)+1,""))</f>
        <v> </v>
      </c>
    </row>
    <row r="507" spans="8:8">
      <c r="H507" s="23" t="str">
        <f>IF('Bets'!C504="","",IF(COUNTIF('Bets'!$C$2:C504,'Bets'!C504)=1,MAX($H$4:H506)+1,""))</f>
        <v> </v>
      </c>
    </row>
    <row r="508" spans="8:8">
      <c r="H508" s="23" t="str">
        <f>IF('Bets'!C505="","",IF(COUNTIF('Bets'!$C$2:C505,'Bets'!C505)=1,MAX($H$4:H507)+1,""))</f>
        <v> </v>
      </c>
    </row>
    <row r="509" spans="8:8">
      <c r="H509" s="23" t="str">
        <f>IF('Bets'!C506="","",IF(COUNTIF('Bets'!$C$2:C506,'Bets'!C506)=1,MAX($H$4:H508)+1,""))</f>
        <v> </v>
      </c>
    </row>
    <row r="510" spans="8:8">
      <c r="H510" s="23" t="str">
        <f>IF('Bets'!C507="","",IF(COUNTIF('Bets'!$C$2:C507,'Bets'!C507)=1,MAX($H$4:H509)+1,""))</f>
        <v> </v>
      </c>
    </row>
    <row r="511" spans="8:8">
      <c r="H511" s="23" t="str">
        <f>IF('Bets'!C508="","",IF(COUNTIF('Bets'!$C$2:C508,'Bets'!C508)=1,MAX($H$4:H510)+1,""))</f>
        <v> </v>
      </c>
    </row>
    <row r="512" spans="8:8">
      <c r="H512" s="23" t="str">
        <f>IF('Bets'!C509="","",IF(COUNTIF('Bets'!$C$2:C509,'Bets'!C509)=1,MAX($H$4:H511)+1,""))</f>
        <v> </v>
      </c>
    </row>
    <row r="513" spans="8:8">
      <c r="H513" s="23" t="str">
        <f>IF('Bets'!C510="","",IF(COUNTIF('Bets'!$C$2:C510,'Bets'!C510)=1,MAX($H$4:H512)+1,""))</f>
        <v> </v>
      </c>
    </row>
    <row r="514" spans="8:8">
      <c r="H514" s="23" t="str">
        <f>IF('Bets'!C511="","",IF(COUNTIF('Bets'!$C$2:C511,'Bets'!C511)=1,MAX($H$4:H513)+1,""))</f>
        <v> </v>
      </c>
    </row>
    <row r="515" spans="8:8">
      <c r="H515" s="23" t="str">
        <f>IF('Bets'!C512="","",IF(COUNTIF('Bets'!$C$2:C512,'Bets'!C512)=1,MAX($H$4:H514)+1,""))</f>
        <v> </v>
      </c>
    </row>
    <row r="516" spans="8:8">
      <c r="H516" s="23" t="str">
        <f>IF('Bets'!C513="","",IF(COUNTIF('Bets'!$C$2:C513,'Bets'!C513)=1,MAX($H$4:H515)+1,""))</f>
        <v> </v>
      </c>
    </row>
    <row r="517" spans="8:8">
      <c r="H517" s="23" t="str">
        <f>IF('Bets'!C514="","",IF(COUNTIF('Bets'!$C$2:C514,'Bets'!C514)=1,MAX($H$4:H516)+1,""))</f>
        <v> </v>
      </c>
    </row>
    <row r="518" spans="8:8">
      <c r="H518" s="23" t="str">
        <f>IF('Bets'!C515="","",IF(COUNTIF('Bets'!$C$2:C515,'Bets'!C515)=1,MAX($H$4:H517)+1,""))</f>
        <v> </v>
      </c>
    </row>
    <row r="519" spans="8:8">
      <c r="H519" s="23" t="str">
        <f>IF('Bets'!C516="","",IF(COUNTIF('Bets'!$C$2:C516,'Bets'!C516)=1,MAX($H$4:H518)+1,""))</f>
        <v> </v>
      </c>
    </row>
    <row r="520" spans="8:8">
      <c r="H520" s="23" t="str">
        <f>IF('Bets'!C517="","",IF(COUNTIF('Bets'!$C$2:C517,'Bets'!C517)=1,MAX($H$4:H519)+1,""))</f>
        <v> </v>
      </c>
    </row>
    <row r="521" spans="8:8">
      <c r="H521" s="23" t="str">
        <f>IF('Bets'!C518="","",IF(COUNTIF('Bets'!$C$2:C518,'Bets'!C518)=1,MAX($H$4:H520)+1,""))</f>
        <v> </v>
      </c>
    </row>
    <row r="522" spans="8:8">
      <c r="H522" s="23" t="str">
        <f>IF('Bets'!C519="","",IF(COUNTIF('Bets'!$C$2:C519,'Bets'!C519)=1,MAX($H$4:H521)+1,""))</f>
        <v> </v>
      </c>
    </row>
    <row r="523" spans="8:8">
      <c r="H523" s="23" t="str">
        <f>IF('Bets'!C520="","",IF(COUNTIF('Bets'!$C$2:C520,'Bets'!C520)=1,MAX($H$4:H522)+1,""))</f>
        <v> </v>
      </c>
    </row>
    <row r="524" spans="8:8">
      <c r="H524" s="23" t="str">
        <f>IF('Bets'!C521="","",IF(COUNTIF('Bets'!$C$2:C521,'Bets'!C521)=1,MAX($H$4:H523)+1,""))</f>
        <v> </v>
      </c>
    </row>
    <row r="525" spans="8:8">
      <c r="H525" s="23" t="str">
        <f>IF('Bets'!C522="","",IF(COUNTIF('Bets'!$C$2:C522,'Bets'!C522)=1,MAX($H$4:H524)+1,""))</f>
        <v> </v>
      </c>
    </row>
    <row r="526" spans="8:8">
      <c r="H526" s="23" t="str">
        <f>IF('Bets'!C523="","",IF(COUNTIF('Bets'!$C$2:C523,'Bets'!C523)=1,MAX($H$4:H525)+1,""))</f>
        <v> </v>
      </c>
    </row>
    <row r="527" spans="8:8">
      <c r="H527" s="23" t="str">
        <f>IF('Bets'!C524="","",IF(COUNTIF('Bets'!$C$2:C524,'Bets'!C524)=1,MAX($H$4:H526)+1,""))</f>
        <v> </v>
      </c>
    </row>
    <row r="528" spans="8:8">
      <c r="H528" s="23" t="str">
        <f>IF('Bets'!C525="","",IF(COUNTIF('Bets'!$C$2:C525,'Bets'!C525)=1,MAX($H$4:H527)+1,""))</f>
        <v> </v>
      </c>
    </row>
    <row r="529" spans="8:8">
      <c r="H529" s="23" t="str">
        <f>IF('Bets'!C526="","",IF(COUNTIF('Bets'!$C$2:C526,'Bets'!C526)=1,MAX($H$4:H528)+1,""))</f>
        <v> </v>
      </c>
    </row>
    <row r="530" spans="8:8">
      <c r="H530" s="23" t="str">
        <f>IF('Bets'!C527="","",IF(COUNTIF('Bets'!$C$2:C527,'Bets'!C527)=1,MAX($H$4:H529)+1,""))</f>
        <v> </v>
      </c>
    </row>
    <row r="531" spans="8:8">
      <c r="H531" s="23" t="str">
        <f>IF('Bets'!C528="","",IF(COUNTIF('Bets'!$C$2:C528,'Bets'!C528)=1,MAX($H$4:H530)+1,""))</f>
        <v> </v>
      </c>
    </row>
    <row r="532" spans="8:8">
      <c r="H532" s="23" t="str">
        <f>IF('Bets'!C529="","",IF(COUNTIF('Bets'!$C$2:C529,'Bets'!C529)=1,MAX($H$4:H531)+1,""))</f>
        <v> </v>
      </c>
    </row>
    <row r="533" spans="8:8">
      <c r="H533" s="23" t="str">
        <f>IF('Bets'!C530="","",IF(COUNTIF('Bets'!$C$2:C530,'Bets'!C530)=1,MAX($H$4:H532)+1,""))</f>
        <v> </v>
      </c>
    </row>
    <row r="534" spans="8:8">
      <c r="H534" s="23" t="str">
        <f>IF('Bets'!C531="","",IF(COUNTIF('Bets'!$C$2:C531,'Bets'!C531)=1,MAX($H$4:H533)+1,""))</f>
        <v> </v>
      </c>
    </row>
    <row r="535" spans="8:8">
      <c r="H535" s="23" t="str">
        <f>IF('Bets'!C532="","",IF(COUNTIF('Bets'!$C$2:C532,'Bets'!C532)=1,MAX($H$4:H534)+1,""))</f>
        <v> </v>
      </c>
    </row>
    <row r="536" spans="8:8">
      <c r="H536" s="23" t="str">
        <f>IF('Bets'!C533="","",IF(COUNTIF('Bets'!$C$2:C533,'Bets'!C533)=1,MAX($H$4:H535)+1,""))</f>
        <v> </v>
      </c>
    </row>
    <row r="537" spans="8:8">
      <c r="H537" s="23" t="str">
        <f>IF('Bets'!C534="","",IF(COUNTIF('Bets'!$C$2:C534,'Bets'!C534)=1,MAX($H$4:H536)+1,""))</f>
        <v> </v>
      </c>
    </row>
    <row r="538" spans="8:8">
      <c r="H538" s="23" t="str">
        <f>IF('Bets'!C535="","",IF(COUNTIF('Bets'!$C$2:C535,'Bets'!C535)=1,MAX($H$4:H537)+1,""))</f>
        <v> </v>
      </c>
    </row>
    <row r="539" spans="8:8">
      <c r="H539" s="23" t="str">
        <f>IF('Bets'!C536="","",IF(COUNTIF('Bets'!$C$2:C536,'Bets'!C536)=1,MAX($H$4:H538)+1,""))</f>
        <v> </v>
      </c>
    </row>
    <row r="540" spans="8:8">
      <c r="H540" s="23" t="str">
        <f>IF('Bets'!C537="","",IF(COUNTIF('Bets'!$C$2:C537,'Bets'!C537)=1,MAX($H$4:H539)+1,""))</f>
        <v> </v>
      </c>
    </row>
    <row r="541" spans="8:8">
      <c r="H541" s="23" t="str">
        <f>IF('Bets'!C538="","",IF(COUNTIF('Bets'!$C$2:C538,'Bets'!C538)=1,MAX($H$4:H540)+1,""))</f>
        <v> </v>
      </c>
    </row>
    <row r="542" spans="8:8">
      <c r="H542" s="23" t="str">
        <f>IF('Bets'!C539="","",IF(COUNTIF('Bets'!$C$2:C539,'Bets'!C539)=1,MAX($H$4:H541)+1,""))</f>
        <v> </v>
      </c>
    </row>
    <row r="543" spans="8:8">
      <c r="H543" s="23" t="str">
        <f>IF('Bets'!C540="","",IF(COUNTIF('Bets'!$C$2:C540,'Bets'!C540)=1,MAX($H$4:H542)+1,""))</f>
        <v> </v>
      </c>
    </row>
    <row r="544" spans="8:8">
      <c r="H544" s="23" t="str">
        <f>IF('Bets'!C541="","",IF(COUNTIF('Bets'!$C$2:C541,'Bets'!C541)=1,MAX($H$4:H543)+1,""))</f>
        <v> </v>
      </c>
    </row>
    <row r="545" spans="8:8">
      <c r="H545" s="23" t="str">
        <f>IF('Bets'!C542="","",IF(COUNTIF('Bets'!$C$2:C542,'Bets'!C542)=1,MAX($H$4:H544)+1,""))</f>
        <v> </v>
      </c>
    </row>
    <row r="546" spans="8:8">
      <c r="H546" s="23" t="str">
        <f>IF('Bets'!C543="","",IF(COUNTIF('Bets'!$C$2:C543,'Bets'!C543)=1,MAX($H$4:H545)+1,""))</f>
        <v> </v>
      </c>
    </row>
    <row r="547" spans="8:8">
      <c r="H547" s="23" t="str">
        <f>IF('Bets'!C544="","",IF(COUNTIF('Bets'!$C$2:C544,'Bets'!C544)=1,MAX($H$4:H546)+1,""))</f>
        <v> </v>
      </c>
    </row>
    <row r="548" spans="8:8">
      <c r="H548" s="23" t="str">
        <f>IF('Bets'!C545="","",IF(COUNTIF('Bets'!$C$2:C545,'Bets'!C545)=1,MAX($H$4:H547)+1,""))</f>
        <v> </v>
      </c>
    </row>
    <row r="549" spans="8:8">
      <c r="H549" s="23" t="str">
        <f>IF('Bets'!C546="","",IF(COUNTIF('Bets'!$C$2:C546,'Bets'!C546)=1,MAX($H$4:H548)+1,""))</f>
        <v> </v>
      </c>
    </row>
    <row r="550" spans="8:8">
      <c r="H550" s="23" t="str">
        <f>IF('Bets'!C547="","",IF(COUNTIF('Bets'!$C$2:C547,'Bets'!C547)=1,MAX($H$4:H549)+1,""))</f>
        <v> </v>
      </c>
    </row>
    <row r="551" spans="8:8">
      <c r="H551" s="23" t="str">
        <f>IF('Bets'!C548="","",IF(COUNTIF('Bets'!$C$2:C548,'Bets'!C548)=1,MAX($H$4:H550)+1,""))</f>
        <v> </v>
      </c>
    </row>
    <row r="552" spans="8:8">
      <c r="H552" s="23" t="str">
        <f>IF('Bets'!C549="","",IF(COUNTIF('Bets'!$C$2:C549,'Bets'!C549)=1,MAX($H$4:H551)+1,""))</f>
        <v> </v>
      </c>
    </row>
    <row r="553" spans="8:8">
      <c r="H553" s="23" t="str">
        <f>IF('Bets'!C550="","",IF(COUNTIF('Bets'!$C$2:C550,'Bets'!C550)=1,MAX($H$4:H552)+1,""))</f>
        <v> </v>
      </c>
    </row>
    <row r="554" spans="8:8">
      <c r="H554" s="23" t="str">
        <f>IF('Bets'!C551="","",IF(COUNTIF('Bets'!$C$2:C551,'Bets'!C551)=1,MAX($H$4:H553)+1,""))</f>
        <v> </v>
      </c>
    </row>
    <row r="555" spans="8:8">
      <c r="H555" s="23" t="str">
        <f>IF('Bets'!C552="","",IF(COUNTIF('Bets'!$C$2:C552,'Bets'!C552)=1,MAX($H$4:H554)+1,""))</f>
        <v> </v>
      </c>
    </row>
    <row r="556" spans="8:8">
      <c r="H556" s="23" t="str">
        <f>IF('Bets'!C553="","",IF(COUNTIF('Bets'!$C$2:C553,'Bets'!C553)=1,MAX($H$4:H555)+1,""))</f>
        <v> </v>
      </c>
    </row>
    <row r="557" spans="8:8">
      <c r="H557" s="23" t="str">
        <f>IF('Bets'!C554="","",IF(COUNTIF('Bets'!$C$2:C554,'Bets'!C554)=1,MAX($H$4:H556)+1,""))</f>
        <v> </v>
      </c>
    </row>
    <row r="558" spans="8:8">
      <c r="H558" s="23" t="str">
        <f>IF('Bets'!C555="","",IF(COUNTIF('Bets'!$C$2:C555,'Bets'!C555)=1,MAX($H$4:H557)+1,""))</f>
        <v> </v>
      </c>
    </row>
    <row r="559" spans="8:8">
      <c r="H559" s="23" t="str">
        <f>IF('Bets'!C556="","",IF(COUNTIF('Bets'!$C$2:C556,'Bets'!C556)=1,MAX($H$4:H558)+1,""))</f>
        <v> </v>
      </c>
    </row>
    <row r="560" spans="8:8">
      <c r="H560" s="23" t="str">
        <f>IF('Bets'!C557="","",IF(COUNTIF('Bets'!$C$2:C557,'Bets'!C557)=1,MAX($H$4:H559)+1,""))</f>
        <v> </v>
      </c>
    </row>
    <row r="561" spans="8:8">
      <c r="H561" s="23" t="str">
        <f>IF('Bets'!C558="","",IF(COUNTIF('Bets'!$C$2:C558,'Bets'!C558)=1,MAX($H$4:H560)+1,""))</f>
        <v> </v>
      </c>
    </row>
    <row r="562" spans="8:8">
      <c r="H562" s="23" t="str">
        <f>IF('Bets'!C559="","",IF(COUNTIF('Bets'!$C$2:C559,'Bets'!C559)=1,MAX($H$4:H561)+1,""))</f>
        <v> </v>
      </c>
    </row>
    <row r="563" spans="8:8">
      <c r="H563" s="23" t="str">
        <f>IF('Bets'!C560="","",IF(COUNTIF('Bets'!$C$2:C560,'Bets'!C560)=1,MAX($H$4:H562)+1,""))</f>
        <v> </v>
      </c>
    </row>
    <row r="564" spans="8:8">
      <c r="H564" s="23" t="str">
        <f>IF('Bets'!C561="","",IF(COUNTIF('Bets'!$C$2:C561,'Bets'!C561)=1,MAX($H$4:H563)+1,""))</f>
        <v> </v>
      </c>
    </row>
    <row r="565" spans="8:8">
      <c r="H565" s="23" t="str">
        <f>IF('Bets'!C562="","",IF(COUNTIF('Bets'!$C$2:C562,'Bets'!C562)=1,MAX($H$4:H564)+1,""))</f>
        <v> </v>
      </c>
    </row>
    <row r="566" spans="8:8">
      <c r="H566" s="23" t="str">
        <f>IF('Bets'!C563="","",IF(COUNTIF('Bets'!$C$2:C563,'Bets'!C563)=1,MAX($H$4:H565)+1,""))</f>
        <v> </v>
      </c>
    </row>
    <row r="567" spans="8:8">
      <c r="H567" s="23" t="str">
        <f>IF('Bets'!C564="","",IF(COUNTIF('Bets'!$C$2:C564,'Bets'!C564)=1,MAX($H$4:H566)+1,""))</f>
        <v> </v>
      </c>
    </row>
    <row r="568" spans="8:8">
      <c r="H568" s="23" t="str">
        <f>IF('Bets'!C565="","",IF(COUNTIF('Bets'!$C$2:C565,'Bets'!C565)=1,MAX($H$4:H567)+1,""))</f>
        <v> </v>
      </c>
    </row>
    <row r="569" spans="8:8">
      <c r="H569" s="23" t="str">
        <f>IF('Bets'!C566="","",IF(COUNTIF('Bets'!$C$2:C566,'Bets'!C566)=1,MAX($H$4:H568)+1,""))</f>
        <v> </v>
      </c>
    </row>
    <row r="570" spans="8:8">
      <c r="H570" s="23" t="str">
        <f>IF('Bets'!C567="","",IF(COUNTIF('Bets'!$C$2:C567,'Bets'!C567)=1,MAX($H$4:H569)+1,""))</f>
        <v> </v>
      </c>
    </row>
    <row r="571" spans="8:8">
      <c r="H571" s="23" t="str">
        <f>IF('Bets'!C568="","",IF(COUNTIF('Bets'!$C$2:C568,'Bets'!C568)=1,MAX($H$4:H570)+1,""))</f>
        <v> </v>
      </c>
    </row>
    <row r="572" spans="8:8">
      <c r="H572" s="23" t="str">
        <f>IF('Bets'!C569="","",IF(COUNTIF('Bets'!$C$2:C569,'Bets'!C569)=1,MAX($H$4:H571)+1,""))</f>
        <v> </v>
      </c>
    </row>
    <row r="573" spans="8:8">
      <c r="H573" s="23" t="str">
        <f>IF('Bets'!C570="","",IF(COUNTIF('Bets'!$C$2:C570,'Bets'!C570)=1,MAX($H$4:H572)+1,""))</f>
        <v> </v>
      </c>
    </row>
    <row r="574" spans="8:8">
      <c r="H574" s="23" t="str">
        <f>IF('Bets'!C571="","",IF(COUNTIF('Bets'!$C$2:C571,'Bets'!C571)=1,MAX($H$4:H573)+1,""))</f>
        <v> </v>
      </c>
    </row>
    <row r="575" spans="8:8">
      <c r="H575" s="23" t="str">
        <f>IF('Bets'!C572="","",IF(COUNTIF('Bets'!$C$2:C572,'Bets'!C572)=1,MAX($H$4:H574)+1,""))</f>
        <v> </v>
      </c>
    </row>
    <row r="576" spans="8:8">
      <c r="H576" s="23" t="str">
        <f>IF('Bets'!C573="","",IF(COUNTIF('Bets'!$C$2:C573,'Bets'!C573)=1,MAX($H$4:H575)+1,""))</f>
        <v> </v>
      </c>
    </row>
    <row r="577" spans="8:8">
      <c r="H577" s="23" t="str">
        <f>IF('Bets'!C574="","",IF(COUNTIF('Bets'!$C$2:C574,'Bets'!C574)=1,MAX($H$4:H576)+1,""))</f>
        <v> </v>
      </c>
    </row>
    <row r="578" spans="8:8">
      <c r="H578" s="23" t="str">
        <f>IF('Bets'!C575="","",IF(COUNTIF('Bets'!$C$2:C575,'Bets'!C575)=1,MAX($H$4:H577)+1,""))</f>
        <v> </v>
      </c>
    </row>
    <row r="579" spans="8:8">
      <c r="H579" s="23" t="str">
        <f>IF('Bets'!C576="","",IF(COUNTIF('Bets'!$C$2:C576,'Bets'!C576)=1,MAX($H$4:H578)+1,""))</f>
        <v> </v>
      </c>
    </row>
    <row r="580" spans="8:8">
      <c r="H580" s="23" t="str">
        <f>IF('Bets'!C577="","",IF(COUNTIF('Bets'!$C$2:C577,'Bets'!C577)=1,MAX($H$4:H579)+1,""))</f>
        <v> </v>
      </c>
    </row>
    <row r="581" spans="8:8">
      <c r="H581" s="23" t="str">
        <f>IF('Bets'!C578="","",IF(COUNTIF('Bets'!$C$2:C578,'Bets'!C578)=1,MAX($H$4:H580)+1,""))</f>
        <v> </v>
      </c>
    </row>
    <row r="582" spans="8:8">
      <c r="H582" s="23" t="str">
        <f>IF('Bets'!C579="","",IF(COUNTIF('Bets'!$C$2:C579,'Bets'!C579)=1,MAX($H$4:H581)+1,""))</f>
        <v> </v>
      </c>
    </row>
    <row r="583" spans="8:8">
      <c r="H583" s="23" t="str">
        <f>IF('Bets'!C580="","",IF(COUNTIF('Bets'!$C$2:C580,'Bets'!C580)=1,MAX($H$4:H582)+1,""))</f>
        <v> </v>
      </c>
    </row>
    <row r="584" spans="8:8">
      <c r="H584" s="23" t="str">
        <f>IF('Bets'!C581="","",IF(COUNTIF('Bets'!$C$2:C581,'Bets'!C581)=1,MAX($H$4:H583)+1,""))</f>
        <v> </v>
      </c>
    </row>
    <row r="585" spans="8:8">
      <c r="H585" s="23" t="str">
        <f>IF('Bets'!C582="","",IF(COUNTIF('Bets'!$C$2:C582,'Bets'!C582)=1,MAX($H$4:H584)+1,""))</f>
        <v> </v>
      </c>
    </row>
    <row r="586" spans="8:8">
      <c r="H586" s="23" t="str">
        <f>IF('Bets'!C583="","",IF(COUNTIF('Bets'!$C$2:C583,'Bets'!C583)=1,MAX($H$4:H585)+1,""))</f>
        <v> </v>
      </c>
    </row>
    <row r="587" spans="8:8">
      <c r="H587" s="23" t="str">
        <f>IF('Bets'!C584="","",IF(COUNTIF('Bets'!$C$2:C584,'Bets'!C584)=1,MAX($H$4:H586)+1,""))</f>
        <v> </v>
      </c>
    </row>
    <row r="588" spans="8:8">
      <c r="H588" s="23" t="str">
        <f>IF('Bets'!C585="","",IF(COUNTIF('Bets'!$C$2:C585,'Bets'!C585)=1,MAX($H$4:H587)+1,""))</f>
        <v> </v>
      </c>
    </row>
    <row r="589" spans="8:8">
      <c r="H589" s="23" t="str">
        <f>IF('Bets'!C586="","",IF(COUNTIF('Bets'!$C$2:C586,'Bets'!C586)=1,MAX($H$4:H588)+1,""))</f>
        <v> </v>
      </c>
    </row>
    <row r="590" spans="8:8">
      <c r="H590" s="23" t="str">
        <f>IF('Bets'!C587="","",IF(COUNTIF('Bets'!$C$2:C587,'Bets'!C587)=1,MAX($H$4:H589)+1,""))</f>
        <v> </v>
      </c>
    </row>
    <row r="591" spans="8:8">
      <c r="H591" s="23" t="str">
        <f>IF('Bets'!C588="","",IF(COUNTIF('Bets'!$C$2:C588,'Bets'!C588)=1,MAX($H$4:H590)+1,""))</f>
        <v> </v>
      </c>
    </row>
    <row r="592" spans="8:8">
      <c r="H592" s="23" t="str">
        <f>IF('Bets'!C589="","",IF(COUNTIF('Bets'!$C$2:C589,'Bets'!C589)=1,MAX($H$4:H591)+1,""))</f>
        <v> </v>
      </c>
    </row>
    <row r="593" spans="8:8">
      <c r="H593" s="23" t="str">
        <f>IF('Bets'!C590="","",IF(COUNTIF('Bets'!$C$2:C590,'Bets'!C590)=1,MAX($H$4:H592)+1,""))</f>
        <v> </v>
      </c>
    </row>
    <row r="594" spans="8:8">
      <c r="H594" s="23" t="str">
        <f>IF('Bets'!C591="","",IF(COUNTIF('Bets'!$C$2:C591,'Bets'!C591)=1,MAX($H$4:H593)+1,""))</f>
        <v> </v>
      </c>
    </row>
    <row r="595" spans="8:8">
      <c r="H595" s="23" t="str">
        <f>IF('Bets'!C592="","",IF(COUNTIF('Bets'!$C$2:C592,'Bets'!C592)=1,MAX($H$4:H594)+1,""))</f>
        <v> </v>
      </c>
    </row>
    <row r="596" spans="8:8">
      <c r="H596" s="23" t="str">
        <f>IF('Bets'!C593="","",IF(COUNTIF('Bets'!$C$2:C593,'Bets'!C593)=1,MAX($H$4:H595)+1,""))</f>
        <v> </v>
      </c>
    </row>
    <row r="597" spans="8:8">
      <c r="H597" s="23" t="str">
        <f>IF('Bets'!C594="","",IF(COUNTIF('Bets'!$C$2:C594,'Bets'!C594)=1,MAX($H$4:H596)+1,""))</f>
        <v> </v>
      </c>
    </row>
    <row r="598" spans="8:8">
      <c r="H598" s="23" t="str">
        <f>IF('Bets'!C595="","",IF(COUNTIF('Bets'!$C$2:C595,'Bets'!C595)=1,MAX($H$4:H597)+1,""))</f>
        <v> </v>
      </c>
    </row>
    <row r="599" spans="8:8">
      <c r="H599" s="23" t="str">
        <f>IF('Bets'!C596="","",IF(COUNTIF('Bets'!$C$2:C596,'Bets'!C596)=1,MAX($H$4:H598)+1,""))</f>
        <v> </v>
      </c>
    </row>
    <row r="600" spans="8:8">
      <c r="H600" s="23" t="str">
        <f>IF('Bets'!C597="","",IF(COUNTIF('Bets'!$C$2:C597,'Bets'!C597)=1,MAX($H$4:H599)+1,""))</f>
        <v> </v>
      </c>
    </row>
    <row r="601" spans="8:8">
      <c r="H601" s="23" t="str">
        <f>IF('Bets'!C598="","",IF(COUNTIF('Bets'!$C$2:C598,'Bets'!C598)=1,MAX($H$4:H600)+1,""))</f>
        <v> </v>
      </c>
    </row>
    <row r="602" spans="8:8">
      <c r="H602" s="23" t="str">
        <f>IF('Bets'!C599="","",IF(COUNTIF('Bets'!$C$2:C599,'Bets'!C599)=1,MAX($H$4:H601)+1,""))</f>
        <v> </v>
      </c>
    </row>
    <row r="603" spans="8:8">
      <c r="H603" s="23" t="str">
        <f>IF('Bets'!C600="","",IF(COUNTIF('Bets'!$C$2:C600,'Bets'!C600)=1,MAX($H$4:H602)+1,""))</f>
        <v> </v>
      </c>
    </row>
    <row r="604" spans="8:8">
      <c r="H604" s="23" t="str">
        <f>IF('Bets'!C601="","",IF(COUNTIF('Bets'!$C$2:C601,'Bets'!C601)=1,MAX($H$4:H603)+1,""))</f>
        <v> </v>
      </c>
    </row>
    <row r="605" spans="8:8">
      <c r="H605" s="23" t="str">
        <f>IF('Bets'!C602="","",IF(COUNTIF('Bets'!$C$2:C602,'Bets'!C602)=1,MAX($H$4:H604)+1,""))</f>
        <v> </v>
      </c>
    </row>
    <row r="606" spans="8:8">
      <c r="H606" s="23" t="str">
        <f>IF('Bets'!C603="","",IF(COUNTIF('Bets'!$C$2:C603,'Bets'!C603)=1,MAX($H$4:H605)+1,""))</f>
        <v> </v>
      </c>
    </row>
    <row r="607" spans="8:8">
      <c r="H607" s="23" t="str">
        <f>IF('Bets'!C604="","",IF(COUNTIF('Bets'!$C$2:C604,'Bets'!C604)=1,MAX($H$4:H606)+1,""))</f>
        <v> </v>
      </c>
    </row>
    <row r="608" spans="8:8">
      <c r="H608" s="23" t="str">
        <f>IF('Bets'!C605="","",IF(COUNTIF('Bets'!$C$2:C605,'Bets'!C605)=1,MAX($H$4:H607)+1,""))</f>
        <v> </v>
      </c>
    </row>
    <row r="609" spans="8:8">
      <c r="H609" s="23" t="str">
        <f>IF('Bets'!C606="","",IF(COUNTIF('Bets'!$C$2:C606,'Bets'!C606)=1,MAX($H$4:H608)+1,""))</f>
        <v> </v>
      </c>
    </row>
    <row r="610" spans="8:8">
      <c r="H610" s="23" t="str">
        <f>IF('Bets'!C607="","",IF(COUNTIF('Bets'!$C$2:C607,'Bets'!C607)=1,MAX($H$4:H609)+1,""))</f>
        <v> </v>
      </c>
    </row>
    <row r="611" spans="8:8">
      <c r="H611" s="23" t="str">
        <f>IF('Bets'!C608="","",IF(COUNTIF('Bets'!$C$2:C608,'Bets'!C608)=1,MAX($H$4:H610)+1,""))</f>
        <v> </v>
      </c>
    </row>
    <row r="612" spans="8:8">
      <c r="H612" s="23" t="str">
        <f>IF('Bets'!C609="","",IF(COUNTIF('Bets'!$C$2:C609,'Bets'!C609)=1,MAX($H$4:H611)+1,""))</f>
        <v> </v>
      </c>
    </row>
    <row r="613" spans="8:8">
      <c r="H613" s="23" t="str">
        <f>IF('Bets'!C610="","",IF(COUNTIF('Bets'!$C$2:C610,'Bets'!C610)=1,MAX($H$4:H612)+1,""))</f>
        <v> </v>
      </c>
    </row>
    <row r="614" spans="8:8">
      <c r="H614" s="23" t="str">
        <f>IF('Bets'!C611="","",IF(COUNTIF('Bets'!$C$2:C611,'Bets'!C611)=1,MAX($H$4:H613)+1,""))</f>
        <v> </v>
      </c>
    </row>
    <row r="615" spans="8:8">
      <c r="H615" s="23" t="str">
        <f>IF('Bets'!C612="","",IF(COUNTIF('Bets'!$C$2:C612,'Bets'!C612)=1,MAX($H$4:H614)+1,""))</f>
        <v> </v>
      </c>
    </row>
    <row r="616" spans="8:8">
      <c r="H616" s="23" t="str">
        <f>IF('Bets'!C613="","",IF(COUNTIF('Bets'!$C$2:C613,'Bets'!C613)=1,MAX($H$4:H615)+1,""))</f>
        <v> </v>
      </c>
    </row>
    <row r="617" spans="8:8">
      <c r="H617" s="23" t="str">
        <f>IF('Bets'!C614="","",IF(COUNTIF('Bets'!$C$2:C614,'Bets'!C614)=1,MAX($H$4:H616)+1,""))</f>
        <v> </v>
      </c>
    </row>
    <row r="618" spans="8:8">
      <c r="H618" s="23" t="str">
        <f>IF('Bets'!C615="","",IF(COUNTIF('Bets'!$C$2:C615,'Bets'!C615)=1,MAX($H$4:H617)+1,""))</f>
        <v> </v>
      </c>
    </row>
    <row r="619" spans="8:8">
      <c r="H619" s="23" t="str">
        <f>IF('Bets'!C616="","",IF(COUNTIF('Bets'!$C$2:C616,'Bets'!C616)=1,MAX($H$4:H618)+1,""))</f>
        <v> </v>
      </c>
    </row>
    <row r="620" spans="8:8">
      <c r="H620" s="23" t="str">
        <f>IF('Bets'!C617="","",IF(COUNTIF('Bets'!$C$2:C617,'Bets'!C617)=1,MAX($H$4:H619)+1,""))</f>
        <v> </v>
      </c>
    </row>
    <row r="621" spans="8:8">
      <c r="H621" s="23" t="str">
        <f>IF('Bets'!C618="","",IF(COUNTIF('Bets'!$C$2:C618,'Bets'!C618)=1,MAX($H$4:H620)+1,""))</f>
        <v> </v>
      </c>
    </row>
    <row r="622" spans="8:8">
      <c r="H622" s="23" t="str">
        <f>IF('Bets'!C619="","",IF(COUNTIF('Bets'!$C$2:C619,'Bets'!C619)=1,MAX($H$4:H621)+1,""))</f>
        <v> </v>
      </c>
    </row>
    <row r="623" spans="8:8">
      <c r="H623" s="23" t="str">
        <f>IF('Bets'!C620="","",IF(COUNTIF('Bets'!$C$2:C620,'Bets'!C620)=1,MAX($H$4:H622)+1,""))</f>
        <v> </v>
      </c>
    </row>
    <row r="624" spans="8:8">
      <c r="H624" s="23" t="str">
        <f>IF('Bets'!C621="","",IF(COUNTIF('Bets'!$C$2:C621,'Bets'!C621)=1,MAX($H$4:H623)+1,""))</f>
        <v> </v>
      </c>
    </row>
    <row r="625" spans="8:8">
      <c r="H625" s="23" t="str">
        <f>IF('Bets'!C622="","",IF(COUNTIF('Bets'!$C$2:C622,'Bets'!C622)=1,MAX($H$4:H624)+1,""))</f>
        <v> </v>
      </c>
    </row>
    <row r="626" spans="8:8">
      <c r="H626" s="23" t="str">
        <f>IF('Bets'!C623="","",IF(COUNTIF('Bets'!$C$2:C623,'Bets'!C623)=1,MAX($H$4:H625)+1,""))</f>
        <v> </v>
      </c>
    </row>
    <row r="627" spans="8:8">
      <c r="H627" s="23" t="str">
        <f>IF('Bets'!C624="","",IF(COUNTIF('Bets'!$C$2:C624,'Bets'!C624)=1,MAX($H$4:H626)+1,""))</f>
        <v> </v>
      </c>
    </row>
    <row r="628" spans="8:8">
      <c r="H628" s="23" t="str">
        <f>IF('Bets'!C625="","",IF(COUNTIF('Bets'!$C$2:C625,'Bets'!C625)=1,MAX($H$4:H627)+1,""))</f>
        <v> </v>
      </c>
    </row>
    <row r="629" spans="8:8">
      <c r="H629" s="23" t="str">
        <f>IF('Bets'!C626="","",IF(COUNTIF('Bets'!$C$2:C626,'Bets'!C626)=1,MAX($H$4:H628)+1,""))</f>
        <v> </v>
      </c>
    </row>
    <row r="630" spans="8:8">
      <c r="H630" s="23" t="str">
        <f>IF('Bets'!C627="","",IF(COUNTIF('Bets'!$C$2:C627,'Bets'!C627)=1,MAX($H$4:H629)+1,""))</f>
        <v> </v>
      </c>
    </row>
    <row r="631" spans="8:8">
      <c r="H631" s="23" t="str">
        <f>IF('Bets'!C628="","",IF(COUNTIF('Bets'!$C$2:C628,'Bets'!C628)=1,MAX($H$4:H630)+1,""))</f>
        <v> </v>
      </c>
    </row>
    <row r="632" spans="8:8">
      <c r="H632" s="23" t="str">
        <f>IF('Bets'!C629="","",IF(COUNTIF('Bets'!$C$2:C629,'Bets'!C629)=1,MAX($H$4:H631)+1,""))</f>
        <v> </v>
      </c>
    </row>
    <row r="633" spans="8:8">
      <c r="H633" s="23" t="str">
        <f>IF('Bets'!C630="","",IF(COUNTIF('Bets'!$C$2:C630,'Bets'!C630)=1,MAX($H$4:H632)+1,""))</f>
        <v> </v>
      </c>
    </row>
    <row r="634" spans="8:8">
      <c r="H634" s="23" t="str">
        <f>IF('Bets'!C631="","",IF(COUNTIF('Bets'!$C$2:C631,'Bets'!C631)=1,MAX($H$4:H633)+1,""))</f>
        <v> </v>
      </c>
    </row>
    <row r="635" spans="8:8">
      <c r="H635" s="23" t="str">
        <f>IF('Bets'!C632="","",IF(COUNTIF('Bets'!$C$2:C632,'Bets'!C632)=1,MAX($H$4:H634)+1,""))</f>
        <v> </v>
      </c>
    </row>
    <row r="636" spans="8:8">
      <c r="H636" s="23" t="str">
        <f>IF('Bets'!C633="","",IF(COUNTIF('Bets'!$C$2:C633,'Bets'!C633)=1,MAX($H$4:H635)+1,""))</f>
        <v> </v>
      </c>
    </row>
    <row r="637" spans="8:8">
      <c r="H637" s="23" t="str">
        <f>IF('Bets'!C634="","",IF(COUNTIF('Bets'!$C$2:C634,'Bets'!C634)=1,MAX($H$4:H636)+1,""))</f>
        <v> </v>
      </c>
    </row>
    <row r="638" spans="8:8">
      <c r="H638" s="23" t="str">
        <f>IF('Bets'!C635="","",IF(COUNTIF('Bets'!$C$2:C635,'Bets'!C635)=1,MAX($H$4:H637)+1,""))</f>
        <v> </v>
      </c>
    </row>
    <row r="639" spans="8:8">
      <c r="H639" s="23" t="str">
        <f>IF('Bets'!C636="","",IF(COUNTIF('Bets'!$C$2:C636,'Bets'!C636)=1,MAX($H$4:H638)+1,""))</f>
        <v> </v>
      </c>
    </row>
    <row r="640" spans="8:8">
      <c r="H640" s="23" t="str">
        <f>IF('Bets'!C637="","",IF(COUNTIF('Bets'!$C$2:C637,'Bets'!C637)=1,MAX($H$4:H639)+1,""))</f>
        <v> </v>
      </c>
    </row>
    <row r="641" spans="8:8">
      <c r="H641" s="23" t="str">
        <f>IF('Bets'!C638="","",IF(COUNTIF('Bets'!$C$2:C638,'Bets'!C638)=1,MAX($H$4:H640)+1,""))</f>
        <v> </v>
      </c>
    </row>
    <row r="642" spans="8:8">
      <c r="H642" s="23" t="str">
        <f>IF('Bets'!C639="","",IF(COUNTIF('Bets'!$C$2:C639,'Bets'!C639)=1,MAX($H$4:H641)+1,""))</f>
        <v> </v>
      </c>
    </row>
    <row r="643" spans="8:8">
      <c r="H643" s="23" t="str">
        <f>IF('Bets'!C640="","",IF(COUNTIF('Bets'!$C$2:C640,'Bets'!C640)=1,MAX($H$4:H642)+1,""))</f>
        <v> </v>
      </c>
    </row>
    <row r="644" spans="8:8">
      <c r="H644" s="23" t="str">
        <f>IF('Bets'!C641="","",IF(COUNTIF('Bets'!$C$2:C641,'Bets'!C641)=1,MAX($H$4:H643)+1,""))</f>
        <v> </v>
      </c>
    </row>
    <row r="645" spans="8:8">
      <c r="H645" s="23" t="str">
        <f>IF('Bets'!C642="","",IF(COUNTIF('Bets'!$C$2:C642,'Bets'!C642)=1,MAX($H$4:H644)+1,""))</f>
        <v> </v>
      </c>
    </row>
    <row r="646" spans="8:8">
      <c r="H646" s="23" t="str">
        <f>IF('Bets'!C643="","",IF(COUNTIF('Bets'!$C$2:C643,'Bets'!C643)=1,MAX($H$4:H645)+1,""))</f>
        <v> </v>
      </c>
    </row>
    <row r="647" spans="8:8">
      <c r="H647" s="23" t="str">
        <f>IF('Bets'!C644="","",IF(COUNTIF('Bets'!$C$2:C644,'Bets'!C644)=1,MAX($H$4:H646)+1,""))</f>
        <v> </v>
      </c>
    </row>
    <row r="648" spans="8:8">
      <c r="H648" s="23" t="str">
        <f>IF('Bets'!C645="","",IF(COUNTIF('Bets'!$C$2:C645,'Bets'!C645)=1,MAX($H$4:H647)+1,""))</f>
        <v> </v>
      </c>
    </row>
    <row r="649" spans="8:8">
      <c r="H649" s="23" t="str">
        <f>IF('Bets'!C646="","",IF(COUNTIF('Bets'!$C$2:C646,'Bets'!C646)=1,MAX($H$4:H648)+1,""))</f>
        <v> </v>
      </c>
    </row>
    <row r="650" spans="8:8">
      <c r="H650" s="23" t="str">
        <f>IF('Bets'!C647="","",IF(COUNTIF('Bets'!$C$2:C647,'Bets'!C647)=1,MAX($H$4:H649)+1,""))</f>
        <v> </v>
      </c>
    </row>
    <row r="651" spans="8:8">
      <c r="H651" s="23" t="str">
        <f>IF('Bets'!C648="","",IF(COUNTIF('Bets'!$C$2:C648,'Bets'!C648)=1,MAX($H$4:H650)+1,""))</f>
        <v> </v>
      </c>
    </row>
    <row r="652" spans="8:8">
      <c r="H652" s="23" t="str">
        <f>IF('Bets'!C649="","",IF(COUNTIF('Bets'!$C$2:C649,'Bets'!C649)=1,MAX($H$4:H651)+1,""))</f>
        <v> </v>
      </c>
    </row>
    <row r="653" spans="8:8">
      <c r="H653" s="23" t="str">
        <f>IF('Bets'!C650="","",IF(COUNTIF('Bets'!$C$2:C650,'Bets'!C650)=1,MAX($H$4:H652)+1,""))</f>
        <v> </v>
      </c>
    </row>
    <row r="654" spans="8:8">
      <c r="H654" s="23" t="str">
        <f>IF('Bets'!C651="","",IF(COUNTIF('Bets'!$C$2:C651,'Bets'!C651)=1,MAX($H$4:H653)+1,""))</f>
        <v> </v>
      </c>
    </row>
    <row r="655" spans="8:8">
      <c r="H655" s="23" t="str">
        <f>IF('Bets'!C652="","",IF(COUNTIF('Bets'!$C$2:C652,'Bets'!C652)=1,MAX($H$4:H654)+1,""))</f>
        <v> </v>
      </c>
    </row>
    <row r="656" spans="8:8">
      <c r="H656" s="23" t="str">
        <f>IF('Bets'!C653="","",IF(COUNTIF('Bets'!$C$2:C653,'Bets'!C653)=1,MAX($H$4:H655)+1,""))</f>
        <v> </v>
      </c>
    </row>
    <row r="657" spans="8:8">
      <c r="H657" s="23" t="str">
        <f>IF('Bets'!C654="","",IF(COUNTIF('Bets'!$C$2:C654,'Bets'!C654)=1,MAX($H$4:H656)+1,""))</f>
        <v> </v>
      </c>
    </row>
    <row r="658" spans="8:8">
      <c r="H658" s="23" t="str">
        <f>IF('Bets'!C655="","",IF(COUNTIF('Bets'!$C$2:C655,'Bets'!C655)=1,MAX($H$4:H657)+1,""))</f>
        <v> </v>
      </c>
    </row>
    <row r="659" spans="8:8">
      <c r="H659" s="23" t="str">
        <f>IF('Bets'!C656="","",IF(COUNTIF('Bets'!$C$2:C656,'Bets'!C656)=1,MAX($H$4:H658)+1,""))</f>
        <v> </v>
      </c>
    </row>
    <row r="660" spans="8:8">
      <c r="H660" s="23" t="str">
        <f>IF('Bets'!C657="","",IF(COUNTIF('Bets'!$C$2:C657,'Bets'!C657)=1,MAX($H$4:H659)+1,""))</f>
        <v> </v>
      </c>
    </row>
    <row r="661" spans="8:8">
      <c r="H661" s="23" t="str">
        <f>IF('Bets'!C658="","",IF(COUNTIF('Bets'!$C$2:C658,'Bets'!C658)=1,MAX($H$4:H660)+1,""))</f>
        <v> </v>
      </c>
    </row>
    <row r="662" spans="8:8">
      <c r="H662" s="23" t="str">
        <f>IF('Bets'!C659="","",IF(COUNTIF('Bets'!$C$2:C659,'Bets'!C659)=1,MAX($H$4:H661)+1,""))</f>
        <v> </v>
      </c>
    </row>
    <row r="663" spans="8:8">
      <c r="H663" s="23" t="str">
        <f>IF('Bets'!C660="","",IF(COUNTIF('Bets'!$C$2:C660,'Bets'!C660)=1,MAX($H$4:H662)+1,""))</f>
        <v> </v>
      </c>
    </row>
    <row r="664" spans="8:8">
      <c r="H664" s="23" t="str">
        <f>IF('Bets'!C661="","",IF(COUNTIF('Bets'!$C$2:C661,'Bets'!C661)=1,MAX($H$4:H663)+1,""))</f>
        <v> </v>
      </c>
    </row>
    <row r="665" spans="8:8">
      <c r="H665" s="23" t="str">
        <f>IF('Bets'!C662="","",IF(COUNTIF('Bets'!$C$2:C662,'Bets'!C662)=1,MAX($H$4:H664)+1,""))</f>
        <v> </v>
      </c>
    </row>
    <row r="666" spans="8:8">
      <c r="H666" s="23" t="str">
        <f>IF('Bets'!C663="","",IF(COUNTIF('Bets'!$C$2:C663,'Bets'!C663)=1,MAX($H$4:H665)+1,""))</f>
        <v> </v>
      </c>
    </row>
    <row r="667" spans="8:8">
      <c r="H667" s="23" t="str">
        <f>IF('Bets'!C664="","",IF(COUNTIF('Bets'!$C$2:C664,'Bets'!C664)=1,MAX($H$4:H666)+1,""))</f>
        <v> </v>
      </c>
    </row>
    <row r="668" spans="8:8">
      <c r="H668" s="23" t="str">
        <f>IF('Bets'!C665="","",IF(COUNTIF('Bets'!$C$2:C665,'Bets'!C665)=1,MAX($H$4:H667)+1,""))</f>
        <v> </v>
      </c>
    </row>
    <row r="669" spans="8:8">
      <c r="H669" s="23" t="str">
        <f>IF('Bets'!C666="","",IF(COUNTIF('Bets'!$C$2:C666,'Bets'!C666)=1,MAX($H$4:H668)+1,""))</f>
        <v> </v>
      </c>
    </row>
    <row r="670" spans="8:8">
      <c r="H670" s="23" t="str">
        <f>IF('Bets'!C667="","",IF(COUNTIF('Bets'!$C$2:C667,'Bets'!C667)=1,MAX($H$4:H669)+1,""))</f>
        <v> </v>
      </c>
    </row>
    <row r="671" spans="8:8">
      <c r="H671" s="23" t="str">
        <f>IF('Bets'!C668="","",IF(COUNTIF('Bets'!$C$2:C668,'Bets'!C668)=1,MAX($H$4:H670)+1,""))</f>
        <v> </v>
      </c>
    </row>
    <row r="672" spans="8:8">
      <c r="H672" s="23" t="str">
        <f>IF('Bets'!C669="","",IF(COUNTIF('Bets'!$C$2:C669,'Bets'!C669)=1,MAX($H$4:H671)+1,""))</f>
        <v> </v>
      </c>
    </row>
    <row r="673" spans="8:8">
      <c r="H673" s="23" t="str">
        <f>IF('Bets'!C670="","",IF(COUNTIF('Bets'!$C$2:C670,'Bets'!C670)=1,MAX($H$4:H672)+1,""))</f>
        <v> </v>
      </c>
    </row>
    <row r="674" spans="8:8">
      <c r="H674" s="23" t="str">
        <f>IF('Bets'!C671="","",IF(COUNTIF('Bets'!$C$2:C671,'Bets'!C671)=1,MAX($H$4:H673)+1,""))</f>
        <v> </v>
      </c>
    </row>
    <row r="675" spans="8:8">
      <c r="H675" s="23" t="str">
        <f>IF('Bets'!C672="","",IF(COUNTIF('Bets'!$C$2:C672,'Bets'!C672)=1,MAX($H$4:H674)+1,""))</f>
        <v> </v>
      </c>
    </row>
    <row r="676" spans="8:8">
      <c r="H676" s="23" t="str">
        <f>IF('Bets'!C673="","",IF(COUNTIF('Bets'!$C$2:C673,'Bets'!C673)=1,MAX($H$4:H675)+1,""))</f>
        <v> </v>
      </c>
    </row>
    <row r="677" spans="8:8">
      <c r="H677" s="23" t="str">
        <f>IF('Bets'!C674="","",IF(COUNTIF('Bets'!$C$2:C674,'Bets'!C674)=1,MAX($H$4:H676)+1,""))</f>
        <v> </v>
      </c>
    </row>
    <row r="678" spans="8:8">
      <c r="H678" s="23" t="str">
        <f>IF('Bets'!C675="","",IF(COUNTIF('Bets'!$C$2:C675,'Bets'!C675)=1,MAX($H$4:H677)+1,""))</f>
        <v> </v>
      </c>
    </row>
    <row r="679" spans="8:8">
      <c r="H679" s="23" t="str">
        <f>IF('Bets'!C676="","",IF(COUNTIF('Bets'!$C$2:C676,'Bets'!C676)=1,MAX($H$4:H678)+1,""))</f>
        <v> </v>
      </c>
    </row>
    <row r="680" spans="8:8">
      <c r="H680" s="23" t="str">
        <f>IF('Bets'!C677="","",IF(COUNTIF('Bets'!$C$2:C677,'Bets'!C677)=1,MAX($H$4:H679)+1,""))</f>
        <v> </v>
      </c>
    </row>
    <row r="681" spans="8:8">
      <c r="H681" s="23" t="str">
        <f>IF('Bets'!C678="","",IF(COUNTIF('Bets'!$C$2:C678,'Bets'!C678)=1,MAX($H$4:H680)+1,""))</f>
        <v> </v>
      </c>
    </row>
    <row r="682" spans="8:8">
      <c r="H682" s="23" t="str">
        <f>IF('Bets'!C679="","",IF(COUNTIF('Bets'!$C$2:C679,'Bets'!C679)=1,MAX($H$4:H681)+1,""))</f>
        <v> </v>
      </c>
    </row>
    <row r="683" spans="8:8">
      <c r="H683" s="23" t="str">
        <f>IF('Bets'!C680="","",IF(COUNTIF('Bets'!$C$2:C680,'Bets'!C680)=1,MAX($H$4:H682)+1,""))</f>
        <v> </v>
      </c>
    </row>
    <row r="684" spans="8:8">
      <c r="H684" s="23" t="str">
        <f>IF('Bets'!C681="","",IF(COUNTIF('Bets'!$C$2:C681,'Bets'!C681)=1,MAX($H$4:H683)+1,""))</f>
        <v> </v>
      </c>
    </row>
    <row r="685" spans="8:8">
      <c r="H685" s="23" t="str">
        <f>IF('Bets'!C682="","",IF(COUNTIF('Bets'!$C$2:C682,'Bets'!C682)=1,MAX($H$4:H684)+1,""))</f>
        <v> </v>
      </c>
    </row>
    <row r="686" spans="8:8">
      <c r="H686" s="23" t="str">
        <f>IF('Bets'!C683="","",IF(COUNTIF('Bets'!$C$2:C683,'Bets'!C683)=1,MAX($H$4:H685)+1,""))</f>
        <v> </v>
      </c>
    </row>
    <row r="687" spans="8:8">
      <c r="H687" s="23" t="str">
        <f>IF('Bets'!C684="","",IF(COUNTIF('Bets'!$C$2:C684,'Bets'!C684)=1,MAX($H$4:H686)+1,""))</f>
        <v> </v>
      </c>
    </row>
    <row r="688" spans="8:8">
      <c r="H688" s="23" t="str">
        <f>IF('Bets'!C685="","",IF(COUNTIF('Bets'!$C$2:C685,'Bets'!C685)=1,MAX($H$4:H687)+1,""))</f>
        <v> </v>
      </c>
    </row>
    <row r="689" spans="8:8">
      <c r="H689" s="23" t="str">
        <f>IF('Bets'!C686="","",IF(COUNTIF('Bets'!$C$2:C686,'Bets'!C686)=1,MAX($H$4:H688)+1,""))</f>
        <v> </v>
      </c>
    </row>
    <row r="690" spans="8:8">
      <c r="H690" s="23" t="str">
        <f>IF('Bets'!C687="","",IF(COUNTIF('Bets'!$C$2:C687,'Bets'!C687)=1,MAX($H$4:H689)+1,""))</f>
        <v> </v>
      </c>
    </row>
    <row r="691" spans="8:8">
      <c r="H691" s="23" t="str">
        <f>IF('Bets'!C688="","",IF(COUNTIF('Bets'!$C$2:C688,'Bets'!C688)=1,MAX($H$4:H690)+1,""))</f>
        <v> </v>
      </c>
    </row>
    <row r="692" spans="8:8">
      <c r="H692" s="23" t="str">
        <f>IF('Bets'!C689="","",IF(COUNTIF('Bets'!$C$2:C689,'Bets'!C689)=1,MAX($H$4:H691)+1,""))</f>
        <v> </v>
      </c>
    </row>
    <row r="693" spans="8:8">
      <c r="H693" s="23" t="str">
        <f>IF('Bets'!C690="","",IF(COUNTIF('Bets'!$C$2:C690,'Bets'!C690)=1,MAX($H$4:H692)+1,""))</f>
        <v> </v>
      </c>
    </row>
    <row r="694" spans="8:8">
      <c r="H694" s="23" t="str">
        <f>IF('Bets'!C691="","",IF(COUNTIF('Bets'!$C$2:C691,'Bets'!C691)=1,MAX($H$4:H693)+1,""))</f>
        <v> </v>
      </c>
    </row>
    <row r="695" spans="8:8">
      <c r="H695" s="23" t="str">
        <f>IF('Bets'!C692="","",IF(COUNTIF('Bets'!$C$2:C692,'Bets'!C692)=1,MAX($H$4:H694)+1,""))</f>
        <v> </v>
      </c>
    </row>
    <row r="696" spans="8:8">
      <c r="H696" s="23" t="str">
        <f>IF('Bets'!C693="","",IF(COUNTIF('Bets'!$C$2:C693,'Bets'!C693)=1,MAX($H$4:H695)+1,""))</f>
        <v> </v>
      </c>
    </row>
    <row r="697" spans="8:8">
      <c r="H697" s="23" t="str">
        <f>IF('Bets'!C694="","",IF(COUNTIF('Bets'!$C$2:C694,'Bets'!C694)=1,MAX($H$4:H696)+1,""))</f>
        <v> </v>
      </c>
    </row>
    <row r="698" spans="8:8">
      <c r="H698" s="23" t="str">
        <f>IF('Bets'!C695="","",IF(COUNTIF('Bets'!$C$2:C695,'Bets'!C695)=1,MAX($H$4:H697)+1,""))</f>
        <v> </v>
      </c>
    </row>
    <row r="699" spans="8:8">
      <c r="H699" s="23" t="str">
        <f>IF('Bets'!C696="","",IF(COUNTIF('Bets'!$C$2:C696,'Bets'!C696)=1,MAX($H$4:H698)+1,""))</f>
        <v> </v>
      </c>
    </row>
    <row r="700" spans="8:8">
      <c r="H700" s="23" t="str">
        <f>IF('Bets'!C697="","",IF(COUNTIF('Bets'!$C$2:C697,'Bets'!C697)=1,MAX($H$4:H699)+1,""))</f>
        <v> </v>
      </c>
    </row>
    <row r="701" spans="8:8">
      <c r="H701" s="23" t="str">
        <f>IF('Bets'!C698="","",IF(COUNTIF('Bets'!$C$2:C698,'Bets'!C698)=1,MAX($H$4:H700)+1,""))</f>
        <v> </v>
      </c>
    </row>
    <row r="702" spans="8:8">
      <c r="H702" s="23" t="str">
        <f>IF('Bets'!C699="","",IF(COUNTIF('Bets'!$C$2:C699,'Bets'!C699)=1,MAX($H$4:H701)+1,""))</f>
        <v> </v>
      </c>
    </row>
    <row r="703" spans="8:8">
      <c r="H703" s="23" t="str">
        <f>IF('Bets'!C700="","",IF(COUNTIF('Bets'!$C$2:C700,'Bets'!C700)=1,MAX($H$4:H702)+1,""))</f>
        <v> </v>
      </c>
    </row>
    <row r="704" spans="8:8">
      <c r="H704" s="23" t="str">
        <f>IF('Bets'!C701="","",IF(COUNTIF('Bets'!$C$2:C701,'Bets'!C701)=1,MAX($H$4:H703)+1,""))</f>
        <v> </v>
      </c>
    </row>
    <row r="705" spans="8:8">
      <c r="H705" s="23" t="str">
        <f>IF('Bets'!C702="","",IF(COUNTIF('Bets'!$C$2:C702,'Bets'!C702)=1,MAX($H$4:H704)+1,""))</f>
        <v> </v>
      </c>
    </row>
    <row r="706" spans="8:8">
      <c r="H706" s="23" t="str">
        <f>IF('Bets'!C703="","",IF(COUNTIF('Bets'!$C$2:C703,'Bets'!C703)=1,MAX($H$4:H705)+1,""))</f>
        <v> </v>
      </c>
    </row>
    <row r="707" spans="8:8">
      <c r="H707" s="23" t="str">
        <f>IF('Bets'!C704="","",IF(COUNTIF('Bets'!$C$2:C704,'Bets'!C704)=1,MAX($H$4:H706)+1,""))</f>
        <v> </v>
      </c>
    </row>
    <row r="708" spans="8:8">
      <c r="H708" s="23" t="str">
        <f>IF('Bets'!C705="","",IF(COUNTIF('Bets'!$C$2:C705,'Bets'!C705)=1,MAX($H$4:H707)+1,""))</f>
        <v> </v>
      </c>
    </row>
    <row r="709" spans="8:8">
      <c r="H709" s="23" t="str">
        <f>IF('Bets'!C706="","",IF(COUNTIF('Bets'!$C$2:C706,'Bets'!C706)=1,MAX($H$4:H708)+1,""))</f>
        <v> </v>
      </c>
    </row>
    <row r="710" spans="8:8">
      <c r="H710" s="23" t="str">
        <f>IF('Bets'!C707="","",IF(COUNTIF('Bets'!$C$2:C707,'Bets'!C707)=1,MAX($H$4:H709)+1,""))</f>
        <v> </v>
      </c>
    </row>
    <row r="711" spans="8:8">
      <c r="H711" s="23" t="str">
        <f>IF('Bets'!C708="","",IF(COUNTIF('Bets'!$C$2:C708,'Bets'!C708)=1,MAX($H$4:H710)+1,""))</f>
        <v> </v>
      </c>
    </row>
    <row r="712" spans="8:8">
      <c r="H712" s="23" t="str">
        <f>IF('Bets'!C709="","",IF(COUNTIF('Bets'!$C$2:C709,'Bets'!C709)=1,MAX($H$4:H711)+1,""))</f>
        <v> </v>
      </c>
    </row>
    <row r="713" spans="8:8">
      <c r="H713" s="23" t="str">
        <f>IF('Bets'!C710="","",IF(COUNTIF('Bets'!$C$2:C710,'Bets'!C710)=1,MAX($H$4:H712)+1,""))</f>
        <v> </v>
      </c>
    </row>
    <row r="714" spans="8:8">
      <c r="H714" s="23" t="str">
        <f>IF('Bets'!C711="","",IF(COUNTIF('Bets'!$C$2:C711,'Bets'!C711)=1,MAX($H$4:H713)+1,""))</f>
        <v> </v>
      </c>
    </row>
    <row r="715" spans="8:8">
      <c r="H715" s="23" t="str">
        <f>IF('Bets'!C712="","",IF(COUNTIF('Bets'!$C$2:C712,'Bets'!C712)=1,MAX($H$4:H714)+1,""))</f>
        <v> </v>
      </c>
    </row>
    <row r="716" spans="8:8">
      <c r="H716" s="23" t="str">
        <f>IF('Bets'!C713="","",IF(COUNTIF('Bets'!$C$2:C713,'Bets'!C713)=1,MAX($H$4:H715)+1,""))</f>
        <v> </v>
      </c>
    </row>
    <row r="717" spans="8:8">
      <c r="H717" s="23" t="str">
        <f>IF('Bets'!C714="","",IF(COUNTIF('Bets'!$C$2:C714,'Bets'!C714)=1,MAX($H$4:H716)+1,""))</f>
        <v> </v>
      </c>
    </row>
    <row r="718" spans="8:8">
      <c r="H718" s="23" t="str">
        <f>IF('Bets'!C715="","",IF(COUNTIF('Bets'!$C$2:C715,'Bets'!C715)=1,MAX($H$4:H717)+1,""))</f>
        <v> </v>
      </c>
    </row>
    <row r="719" spans="8:8">
      <c r="H719" s="23" t="str">
        <f>IF('Bets'!C716="","",IF(COUNTIF('Bets'!$C$2:C716,'Bets'!C716)=1,MAX($H$4:H718)+1,""))</f>
        <v> </v>
      </c>
    </row>
    <row r="720" spans="8:8">
      <c r="H720" s="23" t="str">
        <f>IF('Bets'!C717="","",IF(COUNTIF('Bets'!$C$2:C717,'Bets'!C717)=1,MAX($H$4:H719)+1,""))</f>
        <v> </v>
      </c>
    </row>
    <row r="721" spans="8:8">
      <c r="H721" s="23" t="str">
        <f>IF('Bets'!C718="","",IF(COUNTIF('Bets'!$C$2:C718,'Bets'!C718)=1,MAX($H$4:H720)+1,""))</f>
        <v> </v>
      </c>
    </row>
    <row r="722" spans="8:8">
      <c r="H722" s="23" t="str">
        <f>IF('Bets'!C719="","",IF(COUNTIF('Bets'!$C$2:C719,'Bets'!C719)=1,MAX($H$4:H721)+1,""))</f>
        <v> </v>
      </c>
    </row>
    <row r="723" spans="8:8">
      <c r="H723" s="23" t="str">
        <f>IF('Bets'!C720="","",IF(COUNTIF('Bets'!$C$2:C720,'Bets'!C720)=1,MAX($H$4:H722)+1,""))</f>
        <v> </v>
      </c>
    </row>
    <row r="724" spans="8:8">
      <c r="H724" s="23" t="str">
        <f>IF('Bets'!C721="","",IF(COUNTIF('Bets'!$C$2:C721,'Bets'!C721)=1,MAX($H$4:H723)+1,""))</f>
        <v> </v>
      </c>
    </row>
    <row r="725" spans="8:8">
      <c r="H725" s="23" t="str">
        <f>IF('Bets'!C722="","",IF(COUNTIF('Bets'!$C$2:C722,'Bets'!C722)=1,MAX($H$4:H724)+1,""))</f>
        <v> </v>
      </c>
    </row>
    <row r="726" spans="8:8">
      <c r="H726" s="23" t="str">
        <f>IF('Bets'!C723="","",IF(COUNTIF('Bets'!$C$2:C723,'Bets'!C723)=1,MAX($H$4:H725)+1,""))</f>
        <v> </v>
      </c>
    </row>
    <row r="727" spans="8:8">
      <c r="H727" s="23" t="str">
        <f>IF('Bets'!C724="","",IF(COUNTIF('Bets'!$C$2:C724,'Bets'!C724)=1,MAX($H$4:H726)+1,""))</f>
        <v> </v>
      </c>
    </row>
    <row r="728" spans="8:8">
      <c r="H728" s="23" t="str">
        <f>IF('Bets'!C725="","",IF(COUNTIF('Bets'!$C$2:C725,'Bets'!C725)=1,MAX($H$4:H727)+1,""))</f>
        <v> </v>
      </c>
    </row>
    <row r="729" spans="8:8">
      <c r="H729" s="23" t="str">
        <f>IF('Bets'!C726="","",IF(COUNTIF('Bets'!$C$2:C726,'Bets'!C726)=1,MAX($H$4:H728)+1,""))</f>
        <v> </v>
      </c>
    </row>
    <row r="730" spans="8:8">
      <c r="H730" s="23" t="str">
        <f>IF('Bets'!C727="","",IF(COUNTIF('Bets'!$C$2:C727,'Bets'!C727)=1,MAX($H$4:H729)+1,""))</f>
        <v> </v>
      </c>
    </row>
    <row r="731" spans="8:8">
      <c r="H731" s="23" t="str">
        <f>IF('Bets'!C728="","",IF(COUNTIF('Bets'!$C$2:C728,'Bets'!C728)=1,MAX($H$4:H730)+1,""))</f>
        <v> </v>
      </c>
    </row>
    <row r="732" spans="8:8">
      <c r="H732" s="23" t="str">
        <f>IF('Bets'!C729="","",IF(COUNTIF('Bets'!$C$2:C729,'Bets'!C729)=1,MAX($H$4:H731)+1,""))</f>
        <v> </v>
      </c>
    </row>
    <row r="733" spans="8:8">
      <c r="H733" s="23" t="str">
        <f>IF('Bets'!C730="","",IF(COUNTIF('Bets'!$C$2:C730,'Bets'!C730)=1,MAX($H$4:H732)+1,""))</f>
        <v> </v>
      </c>
    </row>
    <row r="734" spans="8:8">
      <c r="H734" s="23" t="str">
        <f>IF('Bets'!C731="","",IF(COUNTIF('Bets'!$C$2:C731,'Bets'!C731)=1,MAX($H$4:H733)+1,""))</f>
        <v> </v>
      </c>
    </row>
    <row r="735" spans="8:8">
      <c r="H735" s="23" t="str">
        <f>IF('Bets'!C732="","",IF(COUNTIF('Bets'!$C$2:C732,'Bets'!C732)=1,MAX($H$4:H734)+1,""))</f>
        <v> </v>
      </c>
    </row>
    <row r="736" spans="8:8">
      <c r="H736" s="23" t="str">
        <f>IF('Bets'!C733="","",IF(COUNTIF('Bets'!$C$2:C733,'Bets'!C733)=1,MAX($H$4:H735)+1,""))</f>
        <v> </v>
      </c>
    </row>
    <row r="737" spans="8:8">
      <c r="H737" s="23" t="str">
        <f>IF('Bets'!C734="","",IF(COUNTIF('Bets'!$C$2:C734,'Bets'!C734)=1,MAX($H$4:H736)+1,""))</f>
        <v> </v>
      </c>
    </row>
    <row r="738" spans="8:8">
      <c r="H738" s="23" t="str">
        <f>IF('Bets'!C735="","",IF(COUNTIF('Bets'!$C$2:C735,'Bets'!C735)=1,MAX($H$4:H737)+1,""))</f>
        <v> </v>
      </c>
    </row>
    <row r="739" spans="8:8">
      <c r="H739" s="23" t="str">
        <f>IF('Bets'!C736="","",IF(COUNTIF('Bets'!$C$2:C736,'Bets'!C736)=1,MAX($H$4:H738)+1,""))</f>
        <v> </v>
      </c>
    </row>
    <row r="740" spans="8:8">
      <c r="H740" s="23" t="str">
        <f>IF('Bets'!C737="","",IF(COUNTIF('Bets'!$C$2:C737,'Bets'!C737)=1,MAX($H$4:H739)+1,""))</f>
        <v> </v>
      </c>
    </row>
    <row r="741" spans="8:8">
      <c r="H741" s="23" t="str">
        <f>IF('Bets'!C738="","",IF(COUNTIF('Bets'!$C$2:C738,'Bets'!C738)=1,MAX($H$4:H740)+1,""))</f>
        <v> </v>
      </c>
    </row>
    <row r="742" spans="8:8">
      <c r="H742" s="23" t="str">
        <f>IF('Bets'!C739="","",IF(COUNTIF('Bets'!$C$2:C739,'Bets'!C739)=1,MAX($H$4:H741)+1,""))</f>
        <v> </v>
      </c>
    </row>
    <row r="743" spans="8:8">
      <c r="H743" s="23" t="str">
        <f>IF('Bets'!C740="","",IF(COUNTIF('Bets'!$C$2:C740,'Bets'!C740)=1,MAX($H$4:H742)+1,""))</f>
        <v> </v>
      </c>
    </row>
    <row r="744" spans="8:8">
      <c r="H744" s="23" t="str">
        <f>IF('Bets'!C741="","",IF(COUNTIF('Bets'!$C$2:C741,'Bets'!C741)=1,MAX($H$4:H743)+1,""))</f>
        <v> </v>
      </c>
    </row>
    <row r="745" spans="8:8">
      <c r="H745" s="23" t="str">
        <f>IF('Bets'!C742="","",IF(COUNTIF('Bets'!$C$2:C742,'Bets'!C742)=1,MAX($H$4:H744)+1,""))</f>
        <v> </v>
      </c>
    </row>
    <row r="746" spans="8:8">
      <c r="H746" s="23" t="str">
        <f>IF('Bets'!C743="","",IF(COUNTIF('Bets'!$C$2:C743,'Bets'!C743)=1,MAX($H$4:H745)+1,""))</f>
        <v> </v>
      </c>
    </row>
    <row r="747" spans="8:8">
      <c r="H747" s="23" t="str">
        <f>IF('Bets'!C744="","",IF(COUNTIF('Bets'!$C$2:C744,'Bets'!C744)=1,MAX($H$4:H746)+1,""))</f>
        <v> </v>
      </c>
    </row>
    <row r="748" spans="8:8">
      <c r="H748" s="23" t="str">
        <f>IF('Bets'!C745="","",IF(COUNTIF('Bets'!$C$2:C745,'Bets'!C745)=1,MAX($H$4:H747)+1,""))</f>
        <v> </v>
      </c>
    </row>
    <row r="749" spans="8:8">
      <c r="H749" s="23" t="str">
        <f>IF('Bets'!C746="","",IF(COUNTIF('Bets'!$C$2:C746,'Bets'!C746)=1,MAX($H$4:H748)+1,""))</f>
        <v> </v>
      </c>
    </row>
    <row r="750" spans="8:8">
      <c r="H750" s="23" t="str">
        <f>IF('Bets'!C747="","",IF(COUNTIF('Bets'!$C$2:C747,'Bets'!C747)=1,MAX($H$4:H749)+1,""))</f>
        <v> </v>
      </c>
    </row>
    <row r="751" spans="8:8">
      <c r="H751" s="23" t="str">
        <f>IF('Bets'!C748="","",IF(COUNTIF('Bets'!$C$2:C748,'Bets'!C748)=1,MAX($H$4:H750)+1,""))</f>
        <v> </v>
      </c>
    </row>
    <row r="752" spans="8:8">
      <c r="H752" s="23" t="str">
        <f>IF('Bets'!C749="","",IF(COUNTIF('Bets'!$C$2:C749,'Bets'!C749)=1,MAX($H$4:H751)+1,""))</f>
        <v> </v>
      </c>
    </row>
    <row r="753" spans="8:8">
      <c r="H753" s="23" t="str">
        <f>IF('Bets'!C750="","",IF(COUNTIF('Bets'!$C$2:C750,'Bets'!C750)=1,MAX($H$4:H752)+1,""))</f>
        <v> </v>
      </c>
    </row>
    <row r="754" spans="8:8">
      <c r="H754" s="23" t="str">
        <f>IF('Bets'!C751="","",IF(COUNTIF('Bets'!$C$2:C751,'Bets'!C751)=1,MAX($H$4:H753)+1,""))</f>
        <v> </v>
      </c>
    </row>
    <row r="755" spans="8:8">
      <c r="H755" s="23" t="str">
        <f>IF('Bets'!C752="","",IF(COUNTIF('Bets'!$C$2:C752,'Bets'!C752)=1,MAX($H$4:H754)+1,""))</f>
        <v> </v>
      </c>
    </row>
    <row r="756" spans="8:8">
      <c r="H756" s="23" t="str">
        <f>IF('Bets'!C753="","",IF(COUNTIF('Bets'!$C$2:C753,'Bets'!C753)=1,MAX($H$4:H755)+1,""))</f>
        <v> </v>
      </c>
    </row>
    <row r="757" spans="8:8">
      <c r="H757" s="23" t="str">
        <f>IF('Bets'!C754="","",IF(COUNTIF('Bets'!$C$2:C754,'Bets'!C754)=1,MAX($H$4:H756)+1,""))</f>
        <v> </v>
      </c>
    </row>
    <row r="758" spans="8:8">
      <c r="H758" s="23" t="str">
        <f>IF('Bets'!C755="","",IF(COUNTIF('Bets'!$C$2:C755,'Bets'!C755)=1,MAX($H$4:H757)+1,""))</f>
        <v> </v>
      </c>
    </row>
    <row r="759" spans="8:8">
      <c r="H759" s="23" t="str">
        <f>IF('Bets'!C756="","",IF(COUNTIF('Bets'!$C$2:C756,'Bets'!C756)=1,MAX($H$4:H758)+1,""))</f>
        <v> </v>
      </c>
    </row>
    <row r="760" spans="8:8">
      <c r="H760" s="23" t="str">
        <f>IF('Bets'!C757="","",IF(COUNTIF('Bets'!$C$2:C757,'Bets'!C757)=1,MAX($H$4:H759)+1,""))</f>
        <v> </v>
      </c>
    </row>
    <row r="761" spans="8:8">
      <c r="H761" s="23" t="str">
        <f>IF('Bets'!C758="","",IF(COUNTIF('Bets'!$C$2:C758,'Bets'!C758)=1,MAX($H$4:H760)+1,""))</f>
        <v> </v>
      </c>
    </row>
    <row r="762" spans="8:8">
      <c r="H762" s="23" t="str">
        <f>IF('Bets'!C759="","",IF(COUNTIF('Bets'!$C$2:C759,'Bets'!C759)=1,MAX($H$4:H761)+1,""))</f>
        <v> </v>
      </c>
    </row>
    <row r="763" spans="8:8">
      <c r="H763" s="23" t="str">
        <f>IF('Bets'!C760="","",IF(COUNTIF('Bets'!$C$2:C760,'Bets'!C760)=1,MAX($H$4:H762)+1,""))</f>
        <v> </v>
      </c>
    </row>
    <row r="764" spans="8:8">
      <c r="H764" s="23" t="str">
        <f>IF('Bets'!C761="","",IF(COUNTIF('Bets'!$C$2:C761,'Bets'!C761)=1,MAX($H$4:H763)+1,""))</f>
        <v> </v>
      </c>
    </row>
    <row r="765" spans="8:8">
      <c r="H765" s="23" t="str">
        <f>IF('Bets'!C762="","",IF(COUNTIF('Bets'!$C$2:C762,'Bets'!C762)=1,MAX($H$4:H764)+1,""))</f>
        <v> </v>
      </c>
    </row>
    <row r="766" spans="8:8">
      <c r="H766" s="23" t="str">
        <f>IF('Bets'!C763="","",IF(COUNTIF('Bets'!$C$2:C763,'Bets'!C763)=1,MAX($H$4:H765)+1,""))</f>
        <v> </v>
      </c>
    </row>
    <row r="767" spans="8:8">
      <c r="H767" s="23" t="str">
        <f>IF('Bets'!C764="","",IF(COUNTIF('Bets'!$C$2:C764,'Bets'!C764)=1,MAX($H$4:H766)+1,""))</f>
        <v> </v>
      </c>
    </row>
    <row r="768" spans="8:8">
      <c r="H768" s="23" t="str">
        <f>IF('Bets'!C765="","",IF(COUNTIF('Bets'!$C$2:C765,'Bets'!C765)=1,MAX($H$4:H767)+1,""))</f>
        <v> </v>
      </c>
    </row>
    <row r="769" spans="8:8">
      <c r="H769" s="23" t="str">
        <f>IF('Bets'!C766="","",IF(COUNTIF('Bets'!$C$2:C766,'Bets'!C766)=1,MAX($H$4:H768)+1,""))</f>
        <v> </v>
      </c>
    </row>
    <row r="770" spans="8:8">
      <c r="H770" s="23" t="str">
        <f>IF('Bets'!C767="","",IF(COUNTIF('Bets'!$C$2:C767,'Bets'!C767)=1,MAX($H$4:H769)+1,""))</f>
        <v> </v>
      </c>
    </row>
    <row r="771" spans="8:8">
      <c r="H771" s="23" t="str">
        <f>IF('Bets'!C768="","",IF(COUNTIF('Bets'!$C$2:C768,'Bets'!C768)=1,MAX($H$4:H770)+1,""))</f>
        <v> </v>
      </c>
    </row>
    <row r="772" spans="8:8">
      <c r="H772" s="23" t="str">
        <f>IF('Bets'!C769="","",IF(COUNTIF('Bets'!$C$2:C769,'Bets'!C769)=1,MAX($H$4:H771)+1,""))</f>
        <v> </v>
      </c>
    </row>
    <row r="773" spans="8:8">
      <c r="H773" s="23" t="str">
        <f>IF('Bets'!C770="","",IF(COUNTIF('Bets'!$C$2:C770,'Bets'!C770)=1,MAX($H$4:H772)+1,""))</f>
        <v> </v>
      </c>
    </row>
    <row r="774" spans="8:8">
      <c r="H774" s="23" t="str">
        <f>IF('Bets'!C771="","",IF(COUNTIF('Bets'!$C$2:C771,'Bets'!C771)=1,MAX($H$4:H773)+1,""))</f>
        <v> </v>
      </c>
    </row>
    <row r="775" spans="8:8">
      <c r="H775" s="23" t="str">
        <f>IF('Bets'!C772="","",IF(COUNTIF('Bets'!$C$2:C772,'Bets'!C772)=1,MAX($H$4:H774)+1,""))</f>
        <v> </v>
      </c>
    </row>
    <row r="776" spans="8:8">
      <c r="H776" s="23" t="str">
        <f>IF('Bets'!C773="","",IF(COUNTIF('Bets'!$C$2:C773,'Bets'!C773)=1,MAX($H$4:H775)+1,""))</f>
        <v> </v>
      </c>
    </row>
    <row r="777" spans="8:8">
      <c r="H777" s="23" t="str">
        <f>IF('Bets'!C774="","",IF(COUNTIF('Bets'!$C$2:C774,'Bets'!C774)=1,MAX($H$4:H776)+1,""))</f>
        <v> </v>
      </c>
    </row>
    <row r="778" spans="8:8">
      <c r="H778" s="23" t="str">
        <f>IF('Bets'!C775="","",IF(COUNTIF('Bets'!$C$2:C775,'Bets'!C775)=1,MAX($H$4:H777)+1,""))</f>
        <v> </v>
      </c>
    </row>
    <row r="779" spans="8:8">
      <c r="H779" s="23" t="str">
        <f>IF('Bets'!C776="","",IF(COUNTIF('Bets'!$C$2:C776,'Bets'!C776)=1,MAX($H$4:H778)+1,""))</f>
        <v> </v>
      </c>
    </row>
    <row r="780" spans="8:8">
      <c r="H780" s="23" t="str">
        <f>IF('Bets'!C777="","",IF(COUNTIF('Bets'!$C$2:C777,'Bets'!C777)=1,MAX($H$4:H779)+1,""))</f>
        <v> </v>
      </c>
    </row>
    <row r="781" spans="8:8">
      <c r="H781" s="23" t="str">
        <f>IF('Bets'!C778="","",IF(COUNTIF('Bets'!$C$2:C778,'Bets'!C778)=1,MAX($H$4:H780)+1,""))</f>
        <v> </v>
      </c>
    </row>
    <row r="782" spans="8:8">
      <c r="H782" s="23" t="str">
        <f>IF('Bets'!C779="","",IF(COUNTIF('Bets'!$C$2:C779,'Bets'!C779)=1,MAX($H$4:H781)+1,""))</f>
        <v> </v>
      </c>
    </row>
    <row r="783" spans="8:8">
      <c r="H783" s="23" t="str">
        <f>IF('Bets'!C780="","",IF(COUNTIF('Bets'!$C$2:C780,'Bets'!C780)=1,MAX($H$4:H782)+1,""))</f>
        <v> </v>
      </c>
    </row>
    <row r="784" spans="8:8">
      <c r="H784" s="23" t="str">
        <f>IF('Bets'!C781="","",IF(COUNTIF('Bets'!$C$2:C781,'Bets'!C781)=1,MAX($H$4:H783)+1,""))</f>
        <v> </v>
      </c>
    </row>
    <row r="785" spans="8:8">
      <c r="H785" s="23" t="str">
        <f>IF('Bets'!C782="","",IF(COUNTIF('Bets'!$C$2:C782,'Bets'!C782)=1,MAX($H$4:H784)+1,""))</f>
        <v> </v>
      </c>
    </row>
    <row r="786" spans="8:8">
      <c r="H786" s="23" t="str">
        <f>IF('Bets'!C783="","",IF(COUNTIF('Bets'!$C$2:C783,'Bets'!C783)=1,MAX($H$4:H785)+1,""))</f>
        <v> </v>
      </c>
    </row>
    <row r="787" spans="8:8">
      <c r="H787" s="23" t="str">
        <f>IF('Bets'!C784="","",IF(COUNTIF('Bets'!$C$2:C784,'Bets'!C784)=1,MAX($H$4:H786)+1,""))</f>
        <v> </v>
      </c>
    </row>
    <row r="788" spans="8:8">
      <c r="H788" s="23" t="str">
        <f>IF('Bets'!C785="","",IF(COUNTIF('Bets'!$C$2:C785,'Bets'!C785)=1,MAX($H$4:H787)+1,""))</f>
        <v> </v>
      </c>
    </row>
    <row r="789" spans="8:8">
      <c r="H789" s="23" t="str">
        <f>IF('Bets'!C786="","",IF(COUNTIF('Bets'!$C$2:C786,'Bets'!C786)=1,MAX($H$4:H788)+1,""))</f>
        <v> </v>
      </c>
    </row>
    <row r="790" spans="8:8">
      <c r="H790" s="23" t="str">
        <f>IF('Bets'!C787="","",IF(COUNTIF('Bets'!$C$2:C787,'Bets'!C787)=1,MAX($H$4:H789)+1,""))</f>
        <v> </v>
      </c>
    </row>
    <row r="791" spans="8:8">
      <c r="H791" s="23" t="str">
        <f>IF('Bets'!C788="","",IF(COUNTIF('Bets'!$C$2:C788,'Bets'!C788)=1,MAX($H$4:H790)+1,""))</f>
        <v> </v>
      </c>
    </row>
    <row r="792" spans="8:8">
      <c r="H792" s="23" t="str">
        <f>IF('Bets'!C789="","",IF(COUNTIF('Bets'!$C$2:C789,'Bets'!C789)=1,MAX($H$4:H791)+1,""))</f>
        <v> </v>
      </c>
    </row>
    <row r="793" spans="8:8">
      <c r="H793" s="23" t="str">
        <f>IF('Bets'!C790="","",IF(COUNTIF('Bets'!$C$2:C790,'Bets'!C790)=1,MAX($H$4:H792)+1,""))</f>
        <v> </v>
      </c>
    </row>
    <row r="794" spans="8:8">
      <c r="H794" s="23" t="str">
        <f>IF('Bets'!C791="","",IF(COUNTIF('Bets'!$C$2:C791,'Bets'!C791)=1,MAX($H$4:H793)+1,""))</f>
        <v> </v>
      </c>
    </row>
    <row r="795" spans="8:8">
      <c r="H795" s="23" t="str">
        <f>IF('Bets'!C792="","",IF(COUNTIF('Bets'!$C$2:C792,'Bets'!C792)=1,MAX($H$4:H794)+1,""))</f>
        <v> </v>
      </c>
    </row>
    <row r="796" spans="8:8">
      <c r="H796" s="23" t="str">
        <f>IF('Bets'!C793="","",IF(COUNTIF('Bets'!$C$2:C793,'Bets'!C793)=1,MAX($H$4:H795)+1,""))</f>
        <v> </v>
      </c>
    </row>
    <row r="797" spans="8:8">
      <c r="H797" s="23" t="str">
        <f>IF('Bets'!C794="","",IF(COUNTIF('Bets'!$C$2:C794,'Bets'!C794)=1,MAX($H$4:H796)+1,""))</f>
        <v> </v>
      </c>
    </row>
    <row r="798" spans="8:8">
      <c r="H798" s="23" t="str">
        <f>IF('Bets'!C795="","",IF(COUNTIF('Bets'!$C$2:C795,'Bets'!C795)=1,MAX($H$4:H797)+1,""))</f>
        <v> </v>
      </c>
    </row>
    <row r="799" spans="8:8">
      <c r="H799" s="23" t="str">
        <f>IF('Bets'!C796="","",IF(COUNTIF('Bets'!$C$2:C796,'Bets'!C796)=1,MAX($H$4:H798)+1,""))</f>
        <v> </v>
      </c>
    </row>
    <row r="800" spans="8:8">
      <c r="H800" s="23" t="str">
        <f>IF('Bets'!C797="","",IF(COUNTIF('Bets'!$C$2:C797,'Bets'!C797)=1,MAX($H$4:H799)+1,""))</f>
        <v> </v>
      </c>
    </row>
    <row r="801" spans="8:8">
      <c r="H801" s="23" t="str">
        <f>IF('Bets'!C798="","",IF(COUNTIF('Bets'!$C$2:C798,'Bets'!C798)=1,MAX($H$4:H800)+1,""))</f>
        <v> </v>
      </c>
    </row>
    <row r="802" spans="8:8">
      <c r="H802" s="23" t="str">
        <f>IF('Bets'!C799="","",IF(COUNTIF('Bets'!$C$2:C799,'Bets'!C799)=1,MAX($H$4:H801)+1,""))</f>
        <v> </v>
      </c>
    </row>
    <row r="803" spans="8:8">
      <c r="H803" s="23" t="str">
        <f>IF('Bets'!C800="","",IF(COUNTIF('Bets'!$C$2:C800,'Bets'!C800)=1,MAX($H$4:H802)+1,""))</f>
        <v> </v>
      </c>
    </row>
    <row r="804" spans="8:8">
      <c r="H804" s="23" t="str">
        <f>IF('Bets'!C801="","",IF(COUNTIF('Bets'!$C$2:C801,'Bets'!C801)=1,MAX($H$4:H803)+1,""))</f>
        <v> </v>
      </c>
    </row>
    <row r="805" spans="8:8">
      <c r="H805" s="23" t="str">
        <f>IF('Bets'!C802="","",IF(COUNTIF('Bets'!$C$2:C802,'Bets'!C802)=1,MAX($H$4:H804)+1,""))</f>
        <v> </v>
      </c>
    </row>
    <row r="806" spans="8:8">
      <c r="H806" s="23" t="str">
        <f>IF('Bets'!C803="","",IF(COUNTIF('Bets'!$C$2:C803,'Bets'!C803)=1,MAX($H$4:H805)+1,""))</f>
        <v> </v>
      </c>
    </row>
    <row r="807" spans="8:8">
      <c r="H807" s="23" t="str">
        <f>IF('Bets'!C804="","",IF(COUNTIF('Bets'!$C$2:C804,'Bets'!C804)=1,MAX($H$4:H806)+1,""))</f>
        <v> </v>
      </c>
    </row>
    <row r="808" spans="8:8">
      <c r="H808" s="23" t="str">
        <f>IF('Bets'!C805="","",IF(COUNTIF('Bets'!$C$2:C805,'Bets'!C805)=1,MAX($H$4:H807)+1,""))</f>
        <v> </v>
      </c>
    </row>
    <row r="809" spans="8:8">
      <c r="H809" s="23" t="str">
        <f>IF('Bets'!C806="","",IF(COUNTIF('Bets'!$C$2:C806,'Bets'!C806)=1,MAX($H$4:H808)+1,""))</f>
        <v> </v>
      </c>
    </row>
    <row r="810" spans="8:8">
      <c r="H810" s="23" t="str">
        <f>IF('Bets'!C807="","",IF(COUNTIF('Bets'!$C$2:C807,'Bets'!C807)=1,MAX($H$4:H809)+1,""))</f>
        <v> </v>
      </c>
    </row>
    <row r="811" spans="8:8">
      <c r="H811" s="23" t="str">
        <f>IF('Bets'!C808="","",IF(COUNTIF('Bets'!$C$2:C808,'Bets'!C808)=1,MAX($H$4:H810)+1,""))</f>
        <v> </v>
      </c>
    </row>
    <row r="812" spans="8:8">
      <c r="H812" s="23" t="str">
        <f>IF('Bets'!C809="","",IF(COUNTIF('Bets'!$C$2:C809,'Bets'!C809)=1,MAX($H$4:H811)+1,""))</f>
        <v> </v>
      </c>
    </row>
    <row r="813" spans="8:8">
      <c r="H813" s="23" t="str">
        <f>IF('Bets'!C810="","",IF(COUNTIF('Bets'!$C$2:C810,'Bets'!C810)=1,MAX($H$4:H812)+1,""))</f>
        <v> </v>
      </c>
    </row>
    <row r="814" spans="8:8">
      <c r="H814" s="23" t="str">
        <f>IF('Bets'!C811="","",IF(COUNTIF('Bets'!$C$2:C811,'Bets'!C811)=1,MAX($H$4:H813)+1,""))</f>
        <v> </v>
      </c>
    </row>
    <row r="815" spans="8:8">
      <c r="H815" s="23" t="str">
        <f>IF('Bets'!C812="","",IF(COUNTIF('Bets'!$C$2:C812,'Bets'!C812)=1,MAX($H$4:H814)+1,""))</f>
        <v> </v>
      </c>
    </row>
    <row r="816" spans="8:8">
      <c r="H816" s="23" t="str">
        <f>IF('Bets'!C813="","",IF(COUNTIF('Bets'!$C$2:C813,'Bets'!C813)=1,MAX($H$4:H815)+1,""))</f>
        <v> </v>
      </c>
    </row>
    <row r="817" spans="8:8">
      <c r="H817" s="23" t="str">
        <f>IF('Bets'!C814="","",IF(COUNTIF('Bets'!$C$2:C814,'Bets'!C814)=1,MAX($H$4:H816)+1,""))</f>
        <v> </v>
      </c>
    </row>
    <row r="818" spans="8:8">
      <c r="H818" s="23" t="str">
        <f>IF('Bets'!C815="","",IF(COUNTIF('Bets'!$C$2:C815,'Bets'!C815)=1,MAX($H$4:H817)+1,""))</f>
        <v> </v>
      </c>
    </row>
    <row r="819" spans="8:8">
      <c r="H819" s="23" t="str">
        <f>IF('Bets'!C816="","",IF(COUNTIF('Bets'!$C$2:C816,'Bets'!C816)=1,MAX($H$4:H818)+1,""))</f>
        <v> </v>
      </c>
    </row>
    <row r="820" spans="8:8">
      <c r="H820" s="23" t="str">
        <f>IF('Bets'!C817="","",IF(COUNTIF('Bets'!$C$2:C817,'Bets'!C817)=1,MAX($H$4:H819)+1,""))</f>
        <v> </v>
      </c>
    </row>
    <row r="821" spans="8:8">
      <c r="H821" s="23" t="str">
        <f>IF('Bets'!C818="","",IF(COUNTIF('Bets'!$C$2:C818,'Bets'!C818)=1,MAX($H$4:H820)+1,""))</f>
        <v> </v>
      </c>
    </row>
    <row r="822" spans="8:8">
      <c r="H822" s="23" t="str">
        <f>IF('Bets'!C819="","",IF(COUNTIF('Bets'!$C$2:C819,'Bets'!C819)=1,MAX($H$4:H821)+1,""))</f>
        <v> </v>
      </c>
    </row>
    <row r="823" spans="8:8">
      <c r="H823" s="23" t="str">
        <f>IF('Bets'!C820="","",IF(COUNTIF('Bets'!$C$2:C820,'Bets'!C820)=1,MAX($H$4:H822)+1,""))</f>
        <v> </v>
      </c>
    </row>
    <row r="824" spans="8:8">
      <c r="H824" s="23" t="str">
        <f>IF('Bets'!C821="","",IF(COUNTIF('Bets'!$C$2:C821,'Bets'!C821)=1,MAX($H$4:H823)+1,""))</f>
        <v> </v>
      </c>
    </row>
    <row r="825" spans="8:8">
      <c r="H825" s="23" t="str">
        <f>IF('Bets'!C822="","",IF(COUNTIF('Bets'!$C$2:C822,'Bets'!C822)=1,MAX($H$4:H824)+1,""))</f>
        <v> </v>
      </c>
    </row>
    <row r="826" spans="8:8">
      <c r="H826" s="23" t="str">
        <f>IF('Bets'!C823="","",IF(COUNTIF('Bets'!$C$2:C823,'Bets'!C823)=1,MAX($H$4:H825)+1,""))</f>
        <v> </v>
      </c>
    </row>
    <row r="827" spans="8:8">
      <c r="H827" s="23" t="str">
        <f>IF('Bets'!C824="","",IF(COUNTIF('Bets'!$C$2:C824,'Bets'!C824)=1,MAX($H$4:H826)+1,""))</f>
        <v> </v>
      </c>
    </row>
    <row r="828" spans="8:8">
      <c r="H828" s="23" t="str">
        <f>IF('Bets'!C825="","",IF(COUNTIF('Bets'!$C$2:C825,'Bets'!C825)=1,MAX($H$4:H827)+1,""))</f>
        <v> </v>
      </c>
    </row>
    <row r="829" spans="8:8">
      <c r="H829" s="23" t="str">
        <f>IF('Bets'!C826="","",IF(COUNTIF('Bets'!$C$2:C826,'Bets'!C826)=1,MAX($H$4:H828)+1,""))</f>
        <v> </v>
      </c>
    </row>
    <row r="830" spans="8:8">
      <c r="H830" s="23" t="str">
        <f>IF('Bets'!C827="","",IF(COUNTIF('Bets'!$C$2:C827,'Bets'!C827)=1,MAX($H$4:H829)+1,""))</f>
        <v> </v>
      </c>
    </row>
    <row r="831" spans="8:8">
      <c r="H831" s="23" t="str">
        <f>IF('Bets'!C828="","",IF(COUNTIF('Bets'!$C$2:C828,'Bets'!C828)=1,MAX($H$4:H830)+1,""))</f>
        <v> </v>
      </c>
    </row>
    <row r="832" spans="8:8">
      <c r="H832" s="23" t="str">
        <f>IF('Bets'!C829="","",IF(COUNTIF('Bets'!$C$2:C829,'Bets'!C829)=1,MAX($H$4:H831)+1,""))</f>
        <v> </v>
      </c>
    </row>
    <row r="833" spans="8:8">
      <c r="H833" s="23" t="str">
        <f>IF('Bets'!C830="","",IF(COUNTIF('Bets'!$C$2:C830,'Bets'!C830)=1,MAX($H$4:H832)+1,""))</f>
        <v> </v>
      </c>
    </row>
    <row r="834" spans="8:8">
      <c r="H834" s="23" t="str">
        <f>IF('Bets'!C831="","",IF(COUNTIF('Bets'!$C$2:C831,'Bets'!C831)=1,MAX($H$4:H833)+1,""))</f>
        <v> </v>
      </c>
    </row>
    <row r="835" spans="8:8">
      <c r="H835" s="23" t="str">
        <f>IF('Bets'!C832="","",IF(COUNTIF('Bets'!$C$2:C832,'Bets'!C832)=1,MAX($H$4:H834)+1,""))</f>
        <v> </v>
      </c>
    </row>
    <row r="836" spans="8:8">
      <c r="H836" s="23" t="str">
        <f>IF('Bets'!C833="","",IF(COUNTIF('Bets'!$C$2:C833,'Bets'!C833)=1,MAX($H$4:H835)+1,""))</f>
        <v> </v>
      </c>
    </row>
    <row r="837" spans="8:8">
      <c r="H837" s="23" t="str">
        <f>IF('Bets'!C834="","",IF(COUNTIF('Bets'!$C$2:C834,'Bets'!C834)=1,MAX($H$4:H836)+1,""))</f>
        <v> </v>
      </c>
    </row>
    <row r="838" spans="8:8">
      <c r="H838" s="23" t="str">
        <f>IF('Bets'!C835="","",IF(COUNTIF('Bets'!$C$2:C835,'Bets'!C835)=1,MAX($H$4:H837)+1,""))</f>
        <v> </v>
      </c>
    </row>
    <row r="839" spans="8:8">
      <c r="H839" s="23" t="str">
        <f>IF('Bets'!C836="","",IF(COUNTIF('Bets'!$C$2:C836,'Bets'!C836)=1,MAX($H$4:H838)+1,""))</f>
        <v> </v>
      </c>
    </row>
    <row r="840" spans="8:8">
      <c r="H840" s="23" t="str">
        <f>IF('Bets'!C837="","",IF(COUNTIF('Bets'!$C$2:C837,'Bets'!C837)=1,MAX($H$4:H839)+1,""))</f>
        <v> </v>
      </c>
    </row>
    <row r="841" spans="8:8">
      <c r="H841" s="23" t="str">
        <f>IF('Bets'!C838="","",IF(COUNTIF('Bets'!$C$2:C838,'Bets'!C838)=1,MAX($H$4:H840)+1,""))</f>
        <v> </v>
      </c>
    </row>
    <row r="842" spans="8:8">
      <c r="H842" s="23" t="str">
        <f>IF('Bets'!C839="","",IF(COUNTIF('Bets'!$C$2:C839,'Bets'!C839)=1,MAX($H$4:H841)+1,""))</f>
        <v> </v>
      </c>
    </row>
    <row r="843" spans="8:8">
      <c r="H843" s="23" t="str">
        <f>IF('Bets'!C840="","",IF(COUNTIF('Bets'!$C$2:C840,'Bets'!C840)=1,MAX($H$4:H842)+1,""))</f>
        <v> </v>
      </c>
    </row>
    <row r="844" spans="8:8">
      <c r="H844" s="23" t="str">
        <f>IF('Bets'!C841="","",IF(COUNTIF('Bets'!$C$2:C841,'Bets'!C841)=1,MAX($H$4:H843)+1,""))</f>
        <v> </v>
      </c>
    </row>
    <row r="845" spans="8:8">
      <c r="H845" s="23" t="str">
        <f>IF('Bets'!C842="","",IF(COUNTIF('Bets'!$C$2:C842,'Bets'!C842)=1,MAX($H$4:H844)+1,""))</f>
        <v> </v>
      </c>
    </row>
    <row r="846" spans="8:8">
      <c r="H846" s="23" t="str">
        <f>IF('Bets'!C843="","",IF(COUNTIF('Bets'!$C$2:C843,'Bets'!C843)=1,MAX($H$4:H845)+1,""))</f>
        <v> </v>
      </c>
    </row>
    <row r="847" spans="8:8">
      <c r="H847" s="23" t="str">
        <f>IF('Bets'!C844="","",IF(COUNTIF('Bets'!$C$2:C844,'Bets'!C844)=1,MAX($H$4:H846)+1,""))</f>
        <v> </v>
      </c>
    </row>
    <row r="848" spans="8:8">
      <c r="H848" s="23" t="str">
        <f>IF('Bets'!C845="","",IF(COUNTIF('Bets'!$C$2:C845,'Bets'!C845)=1,MAX($H$4:H847)+1,""))</f>
        <v> </v>
      </c>
    </row>
    <row r="849" spans="8:8">
      <c r="H849" s="23" t="str">
        <f>IF('Bets'!C846="","",IF(COUNTIF('Bets'!$C$2:C846,'Bets'!C846)=1,MAX($H$4:H848)+1,""))</f>
        <v> </v>
      </c>
    </row>
    <row r="850" spans="8:8">
      <c r="H850" s="23" t="str">
        <f>IF('Bets'!C847="","",IF(COUNTIF('Bets'!$C$2:C847,'Bets'!C847)=1,MAX($H$4:H849)+1,""))</f>
        <v> </v>
      </c>
    </row>
    <row r="851" spans="8:8">
      <c r="H851" s="23" t="str">
        <f>IF('Bets'!C848="","",IF(COUNTIF('Bets'!$C$2:C848,'Bets'!C848)=1,MAX($H$4:H850)+1,""))</f>
        <v> </v>
      </c>
    </row>
    <row r="852" spans="8:8">
      <c r="H852" s="23" t="str">
        <f>IF('Bets'!C849="","",IF(COUNTIF('Bets'!$C$2:C849,'Bets'!C849)=1,MAX($H$4:H851)+1,""))</f>
        <v> </v>
      </c>
    </row>
    <row r="853" spans="8:8">
      <c r="H853" s="23" t="str">
        <f>IF('Bets'!C850="","",IF(COUNTIF('Bets'!$C$2:C850,'Bets'!C850)=1,MAX($H$4:H852)+1,""))</f>
        <v> </v>
      </c>
    </row>
    <row r="854" spans="8:8">
      <c r="H854" s="23" t="str">
        <f>IF('Bets'!C851="","",IF(COUNTIF('Bets'!$C$2:C851,'Bets'!C851)=1,MAX($H$4:H853)+1,""))</f>
        <v> </v>
      </c>
    </row>
    <row r="855" spans="8:8">
      <c r="H855" s="23" t="str">
        <f>IF('Bets'!C852="","",IF(COUNTIF('Bets'!$C$2:C852,'Bets'!C852)=1,MAX($H$4:H854)+1,""))</f>
        <v> </v>
      </c>
    </row>
    <row r="856" spans="8:8">
      <c r="H856" s="23" t="str">
        <f>IF('Bets'!C853="","",IF(COUNTIF('Bets'!$C$2:C853,'Bets'!C853)=1,MAX($H$4:H855)+1,""))</f>
        <v> </v>
      </c>
    </row>
    <row r="857" spans="8:8">
      <c r="H857" s="23" t="str">
        <f>IF('Bets'!C854="","",IF(COUNTIF('Bets'!$C$2:C854,'Bets'!C854)=1,MAX($H$4:H856)+1,""))</f>
        <v> </v>
      </c>
    </row>
    <row r="858" spans="8:8">
      <c r="H858" s="23" t="str">
        <f>IF('Bets'!C855="","",IF(COUNTIF('Bets'!$C$2:C855,'Bets'!C855)=1,MAX($H$4:H857)+1,""))</f>
        <v> </v>
      </c>
    </row>
    <row r="859" spans="8:8">
      <c r="H859" s="23" t="str">
        <f>IF('Bets'!C856="","",IF(COUNTIF('Bets'!$C$2:C856,'Bets'!C856)=1,MAX($H$4:H858)+1,""))</f>
        <v> </v>
      </c>
    </row>
    <row r="860" spans="8:8">
      <c r="H860" s="23" t="str">
        <f>IF('Bets'!C857="","",IF(COUNTIF('Bets'!$C$2:C857,'Bets'!C857)=1,MAX($H$4:H859)+1,""))</f>
        <v> </v>
      </c>
    </row>
    <row r="861" spans="8:8">
      <c r="H861" s="23" t="str">
        <f>IF('Bets'!C858="","",IF(COUNTIF('Bets'!$C$2:C858,'Bets'!C858)=1,MAX($H$4:H860)+1,""))</f>
        <v> </v>
      </c>
    </row>
    <row r="862" spans="8:8">
      <c r="H862" s="23" t="str">
        <f>IF('Bets'!C859="","",IF(COUNTIF('Bets'!$C$2:C859,'Bets'!C859)=1,MAX($H$4:H861)+1,""))</f>
        <v> </v>
      </c>
    </row>
    <row r="863" spans="8:8">
      <c r="H863" s="23" t="str">
        <f>IF('Bets'!C860="","",IF(COUNTIF('Bets'!$C$2:C860,'Bets'!C860)=1,MAX($H$4:H862)+1,""))</f>
        <v> </v>
      </c>
    </row>
    <row r="864" spans="8:8">
      <c r="H864" s="23" t="str">
        <f>IF('Bets'!C861="","",IF(COUNTIF('Bets'!$C$2:C861,'Bets'!C861)=1,MAX($H$4:H863)+1,""))</f>
        <v> </v>
      </c>
    </row>
    <row r="865" spans="8:8">
      <c r="H865" s="23" t="str">
        <f>IF('Bets'!C862="","",IF(COUNTIF('Bets'!$C$2:C862,'Bets'!C862)=1,MAX($H$4:H864)+1,""))</f>
        <v> </v>
      </c>
    </row>
    <row r="866" spans="8:8">
      <c r="H866" s="23" t="str">
        <f>IF('Bets'!C863="","",IF(COUNTIF('Bets'!$C$2:C863,'Bets'!C863)=1,MAX($H$4:H865)+1,""))</f>
        <v> </v>
      </c>
    </row>
    <row r="867" spans="8:8">
      <c r="H867" s="23" t="str">
        <f>IF('Bets'!C864="","",IF(COUNTIF('Bets'!$C$2:C864,'Bets'!C864)=1,MAX($H$4:H866)+1,""))</f>
        <v> </v>
      </c>
    </row>
    <row r="868" spans="8:8">
      <c r="H868" s="23" t="str">
        <f>IF('Bets'!C865="","",IF(COUNTIF('Bets'!$C$2:C865,'Bets'!C865)=1,MAX($H$4:H867)+1,""))</f>
        <v> </v>
      </c>
    </row>
    <row r="869" spans="8:8">
      <c r="H869" s="23" t="str">
        <f>IF('Bets'!C866="","",IF(COUNTIF('Bets'!$C$2:C866,'Bets'!C866)=1,MAX($H$4:H868)+1,""))</f>
        <v> </v>
      </c>
    </row>
    <row r="870" spans="8:8">
      <c r="H870" s="23" t="str">
        <f>IF('Bets'!C867="","",IF(COUNTIF('Bets'!$C$2:C867,'Bets'!C867)=1,MAX($H$4:H869)+1,""))</f>
        <v> </v>
      </c>
    </row>
    <row r="871" spans="8:8">
      <c r="H871" s="23" t="str">
        <f>IF('Bets'!C868="","",IF(COUNTIF('Bets'!$C$2:C868,'Bets'!C868)=1,MAX($H$4:H870)+1,""))</f>
        <v> </v>
      </c>
    </row>
    <row r="872" spans="8:8">
      <c r="H872" s="23" t="str">
        <f>IF('Bets'!C869="","",IF(COUNTIF('Bets'!$C$2:C869,'Bets'!C869)=1,MAX($H$4:H871)+1,""))</f>
        <v> </v>
      </c>
    </row>
    <row r="873" spans="8:8">
      <c r="H873" s="23" t="str">
        <f>IF('Bets'!C870="","",IF(COUNTIF('Bets'!$C$2:C870,'Bets'!C870)=1,MAX($H$4:H872)+1,""))</f>
        <v> </v>
      </c>
    </row>
    <row r="874" spans="8:8">
      <c r="H874" s="23" t="str">
        <f>IF('Bets'!C871="","",IF(COUNTIF('Bets'!$C$2:C871,'Bets'!C871)=1,MAX($H$4:H873)+1,""))</f>
        <v> </v>
      </c>
    </row>
    <row r="875" spans="8:8">
      <c r="H875" s="23" t="str">
        <f>IF('Bets'!C872="","",IF(COUNTIF('Bets'!$C$2:C872,'Bets'!C872)=1,MAX($H$4:H874)+1,""))</f>
        <v> </v>
      </c>
    </row>
    <row r="876" spans="8:8">
      <c r="H876" s="23" t="str">
        <f>IF('Bets'!C873="","",IF(COUNTIF('Bets'!$C$2:C873,'Bets'!C873)=1,MAX($H$4:H875)+1,""))</f>
        <v> </v>
      </c>
    </row>
    <row r="877" spans="8:8">
      <c r="H877" s="23" t="str">
        <f>IF('Bets'!C874="","",IF(COUNTIF('Bets'!$C$2:C874,'Bets'!C874)=1,MAX($H$4:H876)+1,""))</f>
        <v> </v>
      </c>
    </row>
    <row r="878" spans="8:8">
      <c r="H878" s="23" t="str">
        <f>IF('Bets'!C875="","",IF(COUNTIF('Bets'!$C$2:C875,'Bets'!C875)=1,MAX($H$4:H877)+1,""))</f>
        <v> </v>
      </c>
    </row>
    <row r="879" spans="8:8">
      <c r="H879" s="23" t="str">
        <f>IF('Bets'!C876="","",IF(COUNTIF('Bets'!$C$2:C876,'Bets'!C876)=1,MAX($H$4:H878)+1,""))</f>
        <v> </v>
      </c>
    </row>
    <row r="880" spans="8:8">
      <c r="H880" s="23" t="str">
        <f>IF('Bets'!C877="","",IF(COUNTIF('Bets'!$C$2:C877,'Bets'!C877)=1,MAX($H$4:H879)+1,""))</f>
        <v> </v>
      </c>
    </row>
    <row r="881" spans="8:8">
      <c r="H881" s="23" t="str">
        <f>IF('Bets'!C878="","",IF(COUNTIF('Bets'!$C$2:C878,'Bets'!C878)=1,MAX($H$4:H880)+1,""))</f>
        <v> </v>
      </c>
    </row>
    <row r="882" spans="8:8">
      <c r="H882" s="23" t="str">
        <f>IF('Bets'!C879="","",IF(COUNTIF('Bets'!$C$2:C879,'Bets'!C879)=1,MAX($H$4:H881)+1,""))</f>
        <v> </v>
      </c>
    </row>
    <row r="883" spans="8:8">
      <c r="H883" s="23" t="str">
        <f>IF('Bets'!C880="","",IF(COUNTIF('Bets'!$C$2:C880,'Bets'!C880)=1,MAX($H$4:H882)+1,""))</f>
        <v> </v>
      </c>
    </row>
    <row r="884" spans="8:8">
      <c r="H884" s="23" t="str">
        <f>IF('Bets'!C881="","",IF(COUNTIF('Bets'!$C$2:C881,'Bets'!C881)=1,MAX($H$4:H883)+1,""))</f>
        <v> </v>
      </c>
    </row>
    <row r="885" spans="8:8">
      <c r="H885" s="23" t="str">
        <f>IF('Bets'!C882="","",IF(COUNTIF('Bets'!$C$2:C882,'Bets'!C882)=1,MAX($H$4:H884)+1,""))</f>
        <v> </v>
      </c>
    </row>
    <row r="886" spans="8:8">
      <c r="H886" s="23" t="str">
        <f>IF('Bets'!C883="","",IF(COUNTIF('Bets'!$C$2:C883,'Bets'!C883)=1,MAX($H$4:H885)+1,""))</f>
        <v> </v>
      </c>
    </row>
    <row r="887" spans="8:8">
      <c r="H887" s="23" t="str">
        <f>IF('Bets'!C884="","",IF(COUNTIF('Bets'!$C$2:C884,'Bets'!C884)=1,MAX($H$4:H886)+1,""))</f>
        <v> </v>
      </c>
    </row>
    <row r="888" spans="8:8">
      <c r="H888" s="23" t="str">
        <f>IF('Bets'!C885="","",IF(COUNTIF('Bets'!$C$2:C885,'Bets'!C885)=1,MAX($H$4:H887)+1,""))</f>
        <v> </v>
      </c>
    </row>
    <row r="889" spans="8:8">
      <c r="H889" s="23" t="str">
        <f>IF('Bets'!C886="","",IF(COUNTIF('Bets'!$C$2:C886,'Bets'!C886)=1,MAX($H$4:H888)+1,""))</f>
        <v> </v>
      </c>
    </row>
    <row r="890" spans="8:8">
      <c r="H890" s="23" t="str">
        <f>IF('Bets'!C887="","",IF(COUNTIF('Bets'!$C$2:C887,'Bets'!C887)=1,MAX($H$4:H889)+1,""))</f>
        <v> </v>
      </c>
    </row>
    <row r="891" spans="8:8">
      <c r="H891" s="23" t="str">
        <f>IF('Bets'!C888="","",IF(COUNTIF('Bets'!$C$2:C888,'Bets'!C888)=1,MAX($H$4:H890)+1,""))</f>
        <v> </v>
      </c>
    </row>
    <row r="892" spans="8:8">
      <c r="H892" s="23" t="str">
        <f>IF('Bets'!C889="","",IF(COUNTIF('Bets'!$C$2:C889,'Bets'!C889)=1,MAX($H$4:H891)+1,""))</f>
        <v> </v>
      </c>
    </row>
    <row r="893" spans="8:8">
      <c r="H893" s="23" t="str">
        <f>IF('Bets'!C890="","",IF(COUNTIF('Bets'!$C$2:C890,'Bets'!C890)=1,MAX($H$4:H892)+1,""))</f>
        <v> </v>
      </c>
    </row>
    <row r="894" spans="8:8">
      <c r="H894" s="23" t="str">
        <f>IF('Bets'!C891="","",IF(COUNTIF('Bets'!$C$2:C891,'Bets'!C891)=1,MAX($H$4:H893)+1,""))</f>
        <v> </v>
      </c>
    </row>
    <row r="895" spans="8:8">
      <c r="H895" s="23" t="str">
        <f>IF('Bets'!C892="","",IF(COUNTIF('Bets'!$C$2:C892,'Bets'!C892)=1,MAX($H$4:H894)+1,""))</f>
        <v> </v>
      </c>
    </row>
    <row r="896" spans="8:8">
      <c r="H896" s="23" t="str">
        <f>IF('Bets'!C893="","",IF(COUNTIF('Bets'!$C$2:C893,'Bets'!C893)=1,MAX($H$4:H895)+1,""))</f>
        <v> </v>
      </c>
    </row>
    <row r="897" spans="8:8">
      <c r="H897" s="23" t="str">
        <f>IF('Bets'!C894="","",IF(COUNTIF('Bets'!$C$2:C894,'Bets'!C894)=1,MAX($H$4:H896)+1,""))</f>
        <v> </v>
      </c>
    </row>
    <row r="898" spans="8:8">
      <c r="H898" s="23" t="str">
        <f>IF('Bets'!C895="","",IF(COUNTIF('Bets'!$C$2:C895,'Bets'!C895)=1,MAX($H$4:H897)+1,""))</f>
        <v> </v>
      </c>
    </row>
    <row r="899" spans="8:8">
      <c r="H899" s="23" t="str">
        <f>IF('Bets'!C896="","",IF(COUNTIF('Bets'!$C$2:C896,'Bets'!C896)=1,MAX($H$4:H898)+1,""))</f>
        <v> </v>
      </c>
    </row>
    <row r="900" spans="8:8">
      <c r="H900" s="23" t="str">
        <f>IF('Bets'!C897="","",IF(COUNTIF('Bets'!$C$2:C897,'Bets'!C897)=1,MAX($H$4:H899)+1,""))</f>
        <v> </v>
      </c>
    </row>
    <row r="901" spans="8:8">
      <c r="H901" s="23" t="str">
        <f>IF('Bets'!C898="","",IF(COUNTIF('Bets'!$C$2:C898,'Bets'!C898)=1,MAX($H$4:H900)+1,""))</f>
        <v> </v>
      </c>
    </row>
    <row r="902" spans="8:8">
      <c r="H902" s="23" t="str">
        <f>IF('Bets'!C899="","",IF(COUNTIF('Bets'!$C$2:C899,'Bets'!C899)=1,MAX($H$4:H901)+1,""))</f>
        <v> </v>
      </c>
    </row>
    <row r="903" spans="8:8">
      <c r="H903" s="23" t="str">
        <f>IF('Bets'!C900="","",IF(COUNTIF('Bets'!$C$2:C900,'Bets'!C900)=1,MAX($H$4:H902)+1,""))</f>
        <v> </v>
      </c>
    </row>
    <row r="904" spans="8:8">
      <c r="H904" s="23" t="str">
        <f>IF('Bets'!C901="","",IF(COUNTIF('Bets'!$C$2:C901,'Bets'!C901)=1,MAX($H$4:H903)+1,""))</f>
        <v> </v>
      </c>
    </row>
    <row r="905" spans="8:8">
      <c r="H905" s="23" t="str">
        <f>IF('Bets'!C902="","",IF(COUNTIF('Bets'!$C$2:C902,'Bets'!C902)=1,MAX($H$4:H904)+1,""))</f>
        <v> </v>
      </c>
    </row>
    <row r="906" spans="8:8">
      <c r="H906" s="23" t="str">
        <f>IF('Bets'!C903="","",IF(COUNTIF('Bets'!$C$2:C903,'Bets'!C903)=1,MAX($H$4:H905)+1,""))</f>
        <v> </v>
      </c>
    </row>
    <row r="907" spans="8:8">
      <c r="H907" s="23" t="str">
        <f>IF('Bets'!C904="","",IF(COUNTIF('Bets'!$C$2:C904,'Bets'!C904)=1,MAX($H$4:H906)+1,""))</f>
        <v> </v>
      </c>
    </row>
    <row r="908" spans="8:8">
      <c r="H908" s="23" t="str">
        <f>IF('Bets'!C905="","",IF(COUNTIF('Bets'!$C$2:C905,'Bets'!C905)=1,MAX($H$4:H907)+1,""))</f>
        <v> </v>
      </c>
    </row>
    <row r="909" spans="8:8">
      <c r="H909" s="23" t="str">
        <f>IF('Bets'!C906="","",IF(COUNTIF('Bets'!$C$2:C906,'Bets'!C906)=1,MAX($H$4:H908)+1,""))</f>
        <v> </v>
      </c>
    </row>
    <row r="910" spans="8:8">
      <c r="H910" s="23" t="str">
        <f>IF('Bets'!C907="","",IF(COUNTIF('Bets'!$C$2:C907,'Bets'!C907)=1,MAX($H$4:H909)+1,""))</f>
        <v> </v>
      </c>
    </row>
    <row r="911" spans="8:8">
      <c r="H911" s="23" t="str">
        <f>IF('Bets'!C908="","",IF(COUNTIF('Bets'!$C$2:C908,'Bets'!C908)=1,MAX($H$4:H910)+1,""))</f>
        <v> </v>
      </c>
    </row>
    <row r="912" spans="8:8">
      <c r="H912" s="23" t="str">
        <f>IF('Bets'!C909="","",IF(COUNTIF('Bets'!$C$2:C909,'Bets'!C909)=1,MAX($H$4:H911)+1,""))</f>
        <v> </v>
      </c>
    </row>
    <row r="913" spans="8:8">
      <c r="H913" s="23" t="str">
        <f>IF('Bets'!C910="","",IF(COUNTIF('Bets'!$C$2:C910,'Bets'!C910)=1,MAX($H$4:H912)+1,""))</f>
        <v> </v>
      </c>
    </row>
    <row r="914" spans="8:8">
      <c r="H914" s="23" t="str">
        <f>IF('Bets'!C911="","",IF(COUNTIF('Bets'!$C$2:C911,'Bets'!C911)=1,MAX($H$4:H913)+1,""))</f>
        <v> </v>
      </c>
    </row>
    <row r="915" spans="8:8">
      <c r="H915" s="23" t="str">
        <f>IF('Bets'!C912="","",IF(COUNTIF('Bets'!$C$2:C912,'Bets'!C912)=1,MAX($H$4:H914)+1,""))</f>
        <v> </v>
      </c>
    </row>
    <row r="916" spans="8:8">
      <c r="H916" s="23" t="str">
        <f>IF('Bets'!C913="","",IF(COUNTIF('Bets'!$C$2:C913,'Bets'!C913)=1,MAX($H$4:H915)+1,""))</f>
        <v> </v>
      </c>
    </row>
    <row r="917" spans="8:8">
      <c r="H917" s="23" t="str">
        <f>IF('Bets'!C914="","",IF(COUNTIF('Bets'!$C$2:C914,'Bets'!C914)=1,MAX($H$4:H916)+1,""))</f>
        <v> </v>
      </c>
    </row>
    <row r="918" spans="8:8">
      <c r="H918" s="23" t="str">
        <f>IF('Bets'!C915="","",IF(COUNTIF('Bets'!$C$2:C915,'Bets'!C915)=1,MAX($H$4:H917)+1,""))</f>
        <v> </v>
      </c>
    </row>
    <row r="919" spans="8:8">
      <c r="H919" s="23" t="str">
        <f>IF('Bets'!C916="","",IF(COUNTIF('Bets'!$C$2:C916,'Bets'!C916)=1,MAX($H$4:H918)+1,""))</f>
        <v> </v>
      </c>
    </row>
    <row r="920" spans="8:8">
      <c r="H920" s="23" t="str">
        <f>IF('Bets'!C917="","",IF(COUNTIF('Bets'!$C$2:C917,'Bets'!C917)=1,MAX($H$4:H919)+1,""))</f>
        <v> </v>
      </c>
    </row>
    <row r="921" spans="8:8">
      <c r="H921" s="23" t="str">
        <f>IF('Bets'!C918="","",IF(COUNTIF('Bets'!$C$2:C918,'Bets'!C918)=1,MAX($H$4:H920)+1,""))</f>
        <v> </v>
      </c>
    </row>
    <row r="922" spans="8:8">
      <c r="H922" s="23" t="str">
        <f>IF('Bets'!C919="","",IF(COUNTIF('Bets'!$C$2:C919,'Bets'!C919)=1,MAX($H$4:H921)+1,""))</f>
        <v> </v>
      </c>
    </row>
    <row r="923" spans="8:8">
      <c r="H923" s="23" t="str">
        <f>IF('Bets'!C920="","",IF(COUNTIF('Bets'!$C$2:C920,'Bets'!C920)=1,MAX($H$4:H922)+1,""))</f>
        <v> </v>
      </c>
    </row>
    <row r="924" spans="8:8">
      <c r="H924" s="23" t="str">
        <f>IF('Bets'!C921="","",IF(COUNTIF('Bets'!$C$2:C921,'Bets'!C921)=1,MAX($H$4:H923)+1,""))</f>
        <v> </v>
      </c>
    </row>
    <row r="925" spans="8:8">
      <c r="H925" s="23" t="str">
        <f>IF('Bets'!C922="","",IF(COUNTIF('Bets'!$C$2:C922,'Bets'!C922)=1,MAX($H$4:H924)+1,""))</f>
        <v> </v>
      </c>
    </row>
    <row r="926" spans="8:8">
      <c r="H926" s="23" t="str">
        <f>IF('Bets'!C923="","",IF(COUNTIF('Bets'!$C$2:C923,'Bets'!C923)=1,MAX($H$4:H925)+1,""))</f>
        <v> </v>
      </c>
    </row>
    <row r="927" spans="8:8">
      <c r="H927" s="23" t="str">
        <f>IF('Bets'!C924="","",IF(COUNTIF('Bets'!$C$2:C924,'Bets'!C924)=1,MAX($H$4:H926)+1,""))</f>
        <v> </v>
      </c>
    </row>
    <row r="928" spans="8:8">
      <c r="H928" s="23" t="str">
        <f>IF('Bets'!C925="","",IF(COUNTIF('Bets'!$C$2:C925,'Bets'!C925)=1,MAX($H$4:H927)+1,""))</f>
        <v> </v>
      </c>
    </row>
    <row r="929" spans="8:8">
      <c r="H929" s="23" t="str">
        <f>IF('Bets'!C926="","",IF(COUNTIF('Bets'!$C$2:C926,'Bets'!C926)=1,MAX($H$4:H928)+1,""))</f>
        <v> </v>
      </c>
    </row>
    <row r="930" spans="8:8">
      <c r="H930" s="23" t="str">
        <f>IF('Bets'!C927="","",IF(COUNTIF('Bets'!$C$2:C927,'Bets'!C927)=1,MAX($H$4:H929)+1,""))</f>
        <v> </v>
      </c>
    </row>
    <row r="931" spans="8:8">
      <c r="H931" s="23" t="str">
        <f>IF('Bets'!C928="","",IF(COUNTIF('Bets'!$C$2:C928,'Bets'!C928)=1,MAX($H$4:H930)+1,""))</f>
        <v> </v>
      </c>
    </row>
    <row r="932" spans="8:8">
      <c r="H932" s="23" t="str">
        <f>IF('Bets'!C929="","",IF(COUNTIF('Bets'!$C$2:C929,'Bets'!C929)=1,MAX($H$4:H931)+1,""))</f>
        <v> </v>
      </c>
    </row>
    <row r="933" spans="8:8">
      <c r="H933" s="23" t="str">
        <f>IF('Bets'!C930="","",IF(COUNTIF('Bets'!$C$2:C930,'Bets'!C930)=1,MAX($H$4:H932)+1,""))</f>
        <v> </v>
      </c>
    </row>
    <row r="934" spans="8:8">
      <c r="H934" s="23" t="str">
        <f>IF('Bets'!C931="","",IF(COUNTIF('Bets'!$C$2:C931,'Bets'!C931)=1,MAX($H$4:H933)+1,""))</f>
        <v> </v>
      </c>
    </row>
    <row r="935" spans="8:8">
      <c r="H935" s="23" t="str">
        <f>IF('Bets'!C932="","",IF(COUNTIF('Bets'!$C$2:C932,'Bets'!C932)=1,MAX($H$4:H934)+1,""))</f>
        <v> </v>
      </c>
    </row>
    <row r="936" spans="8:8">
      <c r="H936" s="23" t="str">
        <f>IF('Bets'!C933="","",IF(COUNTIF('Bets'!$C$2:C933,'Bets'!C933)=1,MAX($H$4:H935)+1,""))</f>
        <v> </v>
      </c>
    </row>
    <row r="937" spans="8:8">
      <c r="H937" s="23" t="str">
        <f>IF('Bets'!C934="","",IF(COUNTIF('Bets'!$C$2:C934,'Bets'!C934)=1,MAX($H$4:H936)+1,""))</f>
        <v> </v>
      </c>
    </row>
    <row r="938" spans="8:8">
      <c r="H938" s="23" t="str">
        <f>IF('Bets'!C935="","",IF(COUNTIF('Bets'!$C$2:C935,'Bets'!C935)=1,MAX($H$4:H937)+1,""))</f>
        <v> </v>
      </c>
    </row>
    <row r="939" spans="8:8">
      <c r="H939" s="23" t="str">
        <f>IF('Bets'!C936="","",IF(COUNTIF('Bets'!$C$2:C936,'Bets'!C936)=1,MAX($H$4:H938)+1,""))</f>
        <v> </v>
      </c>
    </row>
    <row r="940" spans="8:8">
      <c r="H940" s="23" t="str">
        <f>IF('Bets'!C937="","",IF(COUNTIF('Bets'!$C$2:C937,'Bets'!C937)=1,MAX($H$4:H939)+1,""))</f>
        <v> </v>
      </c>
    </row>
    <row r="941" spans="8:8">
      <c r="H941" s="23" t="str">
        <f>IF('Bets'!C938="","",IF(COUNTIF('Bets'!$C$2:C938,'Bets'!C938)=1,MAX($H$4:H940)+1,""))</f>
        <v> </v>
      </c>
    </row>
    <row r="942" spans="8:8">
      <c r="H942" s="23" t="str">
        <f>IF('Bets'!C939="","",IF(COUNTIF('Bets'!$C$2:C939,'Bets'!C939)=1,MAX($H$4:H941)+1,""))</f>
        <v> </v>
      </c>
    </row>
    <row r="943" spans="8:8">
      <c r="H943" s="23" t="str">
        <f>IF('Bets'!C940="","",IF(COUNTIF('Bets'!$C$2:C940,'Bets'!C940)=1,MAX($H$4:H942)+1,""))</f>
        <v> </v>
      </c>
    </row>
    <row r="944" spans="8:8">
      <c r="H944" s="23" t="str">
        <f>IF('Bets'!C941="","",IF(COUNTIF('Bets'!$C$2:C941,'Bets'!C941)=1,MAX($H$4:H943)+1,""))</f>
        <v> </v>
      </c>
    </row>
    <row r="945" spans="8:8">
      <c r="H945" s="23" t="str">
        <f>IF('Bets'!C942="","",IF(COUNTIF('Bets'!$C$2:C942,'Bets'!C942)=1,MAX($H$4:H944)+1,""))</f>
        <v> </v>
      </c>
    </row>
    <row r="946" spans="8:8">
      <c r="H946" s="23" t="str">
        <f>IF('Bets'!C943="","",IF(COUNTIF('Bets'!$C$2:C943,'Bets'!C943)=1,MAX($H$4:H945)+1,""))</f>
        <v> </v>
      </c>
    </row>
    <row r="947" spans="8:8">
      <c r="H947" s="23" t="str">
        <f>IF('Bets'!C944="","",IF(COUNTIF('Bets'!$C$2:C944,'Bets'!C944)=1,MAX($H$4:H946)+1,""))</f>
        <v> </v>
      </c>
    </row>
    <row r="948" spans="8:8">
      <c r="H948" s="23" t="str">
        <f>IF('Bets'!C945="","",IF(COUNTIF('Bets'!$C$2:C945,'Bets'!C945)=1,MAX($H$4:H947)+1,""))</f>
        <v> </v>
      </c>
    </row>
    <row r="949" spans="8:8">
      <c r="H949" s="23" t="str">
        <f>IF('Bets'!C946="","",IF(COUNTIF('Bets'!$C$2:C946,'Bets'!C946)=1,MAX($H$4:H948)+1,""))</f>
        <v> </v>
      </c>
    </row>
    <row r="950" spans="8:8">
      <c r="H950" s="23" t="str">
        <f>IF('Bets'!C947="","",IF(COUNTIF('Bets'!$C$2:C947,'Bets'!C947)=1,MAX($H$4:H949)+1,""))</f>
        <v> </v>
      </c>
    </row>
    <row r="951" spans="8:8">
      <c r="H951" s="23" t="str">
        <f>IF('Bets'!C948="","",IF(COUNTIF('Bets'!$C$2:C948,'Bets'!C948)=1,MAX($H$4:H950)+1,""))</f>
        <v> </v>
      </c>
    </row>
    <row r="952" spans="8:8">
      <c r="H952" s="23" t="str">
        <f>IF('Bets'!C949="","",IF(COUNTIF('Bets'!$C$2:C949,'Bets'!C949)=1,MAX($H$4:H951)+1,""))</f>
        <v> </v>
      </c>
    </row>
    <row r="953" spans="8:8">
      <c r="H953" s="23" t="str">
        <f>IF('Bets'!C950="","",IF(COUNTIF('Bets'!$C$2:C950,'Bets'!C950)=1,MAX($H$4:H952)+1,""))</f>
        <v> </v>
      </c>
    </row>
    <row r="954" spans="8:8">
      <c r="H954" s="23" t="str">
        <f>IF('Bets'!C951="","",IF(COUNTIF('Bets'!$C$2:C951,'Bets'!C951)=1,MAX($H$4:H953)+1,""))</f>
        <v> </v>
      </c>
    </row>
    <row r="955" spans="8:8">
      <c r="H955" s="23" t="str">
        <f>IF('Bets'!C952="","",IF(COUNTIF('Bets'!$C$2:C952,'Bets'!C952)=1,MAX($H$4:H954)+1,""))</f>
        <v> </v>
      </c>
    </row>
    <row r="956" spans="8:8">
      <c r="H956" s="23" t="str">
        <f>IF('Bets'!C953="","",IF(COUNTIF('Bets'!$C$2:C953,'Bets'!C953)=1,MAX($H$4:H955)+1,""))</f>
        <v> </v>
      </c>
    </row>
    <row r="957" spans="8:8">
      <c r="H957" s="23" t="str">
        <f>IF('Bets'!C954="","",IF(COUNTIF('Bets'!$C$2:C954,'Bets'!C954)=1,MAX($H$4:H956)+1,""))</f>
        <v> </v>
      </c>
    </row>
    <row r="958" spans="8:8">
      <c r="H958" s="23" t="str">
        <f>IF('Bets'!C955="","",IF(COUNTIF('Bets'!$C$2:C955,'Bets'!C955)=1,MAX($H$4:H957)+1,""))</f>
        <v> </v>
      </c>
    </row>
    <row r="959" spans="8:8">
      <c r="H959" s="23" t="str">
        <f>IF('Bets'!C956="","",IF(COUNTIF('Bets'!$C$2:C956,'Bets'!C956)=1,MAX($H$4:H958)+1,""))</f>
        <v> </v>
      </c>
    </row>
    <row r="960" spans="8:8">
      <c r="H960" s="23" t="str">
        <f>IF('Bets'!C957="","",IF(COUNTIF('Bets'!$C$2:C957,'Bets'!C957)=1,MAX($H$4:H959)+1,""))</f>
        <v> </v>
      </c>
    </row>
    <row r="961" spans="8:8">
      <c r="H961" s="23" t="str">
        <f>IF('Bets'!C958="","",IF(COUNTIF('Bets'!$C$2:C958,'Bets'!C958)=1,MAX($H$4:H960)+1,""))</f>
        <v> </v>
      </c>
    </row>
    <row r="962" spans="8:8">
      <c r="H962" s="23" t="str">
        <f>IF('Bets'!C959="","",IF(COUNTIF('Bets'!$C$2:C959,'Bets'!C959)=1,MAX($H$4:H961)+1,""))</f>
        <v> </v>
      </c>
    </row>
    <row r="963" spans="8:8">
      <c r="H963" s="23" t="str">
        <f>IF('Bets'!C960="","",IF(COUNTIF('Bets'!$C$2:C960,'Bets'!C960)=1,MAX($H$4:H962)+1,""))</f>
        <v> </v>
      </c>
    </row>
    <row r="964" spans="8:8">
      <c r="H964" s="23" t="str">
        <f>IF('Bets'!C961="","",IF(COUNTIF('Bets'!$C$2:C961,'Bets'!C961)=1,MAX($H$4:H963)+1,""))</f>
        <v> </v>
      </c>
    </row>
    <row r="965" spans="8:8">
      <c r="H965" s="23" t="str">
        <f>IF('Bets'!C962="","",IF(COUNTIF('Bets'!$C$2:C962,'Bets'!C962)=1,MAX($H$4:H964)+1,""))</f>
        <v> </v>
      </c>
    </row>
    <row r="966" spans="8:8">
      <c r="H966" s="23" t="str">
        <f>IF('Bets'!C963="","",IF(COUNTIF('Bets'!$C$2:C963,'Bets'!C963)=1,MAX($H$4:H965)+1,""))</f>
        <v> </v>
      </c>
    </row>
    <row r="967" spans="8:8">
      <c r="H967" s="23" t="str">
        <f>IF('Bets'!C964="","",IF(COUNTIF('Bets'!$C$2:C964,'Bets'!C964)=1,MAX($H$4:H966)+1,""))</f>
        <v> </v>
      </c>
    </row>
    <row r="968" spans="8:8">
      <c r="H968" s="23" t="str">
        <f>IF('Bets'!C965="","",IF(COUNTIF('Bets'!$C$2:C965,'Bets'!C965)=1,MAX($H$4:H967)+1,""))</f>
        <v> </v>
      </c>
    </row>
    <row r="969" spans="8:8">
      <c r="H969" s="23" t="str">
        <f>IF('Bets'!C966="","",IF(COUNTIF('Bets'!$C$2:C966,'Bets'!C966)=1,MAX($H$4:H968)+1,""))</f>
        <v> </v>
      </c>
    </row>
    <row r="970" spans="8:8">
      <c r="H970" s="23" t="str">
        <f>IF('Bets'!C967="","",IF(COUNTIF('Bets'!$C$2:C967,'Bets'!C967)=1,MAX($H$4:H969)+1,""))</f>
        <v> </v>
      </c>
    </row>
    <row r="971" spans="8:8">
      <c r="H971" s="23" t="str">
        <f>IF('Bets'!C968="","",IF(COUNTIF('Bets'!$C$2:C968,'Bets'!C968)=1,MAX($H$4:H970)+1,""))</f>
        <v> </v>
      </c>
    </row>
    <row r="972" spans="8:8">
      <c r="H972" s="23" t="str">
        <f>IF('Bets'!C969="","",IF(COUNTIF('Bets'!$C$2:C969,'Bets'!C969)=1,MAX($H$4:H971)+1,""))</f>
        <v> </v>
      </c>
    </row>
    <row r="973" spans="8:8">
      <c r="H973" s="23" t="str">
        <f>IF('Bets'!C970="","",IF(COUNTIF('Bets'!$C$2:C970,'Bets'!C970)=1,MAX($H$4:H972)+1,""))</f>
        <v> </v>
      </c>
    </row>
    <row r="974" spans="8:8">
      <c r="H974" s="23" t="str">
        <f>IF('Bets'!C971="","",IF(COUNTIF('Bets'!$C$2:C971,'Bets'!C971)=1,MAX($H$4:H973)+1,""))</f>
        <v> </v>
      </c>
    </row>
    <row r="975" spans="8:8">
      <c r="H975" s="23" t="str">
        <f>IF('Bets'!C972="","",IF(COUNTIF('Bets'!$C$2:C972,'Bets'!C972)=1,MAX($H$4:H974)+1,""))</f>
        <v> </v>
      </c>
    </row>
    <row r="976" spans="8:8">
      <c r="H976" s="23" t="str">
        <f>IF('Bets'!C973="","",IF(COUNTIF('Bets'!$C$2:C973,'Bets'!C973)=1,MAX($H$4:H975)+1,""))</f>
        <v> </v>
      </c>
    </row>
    <row r="977" spans="8:8">
      <c r="H977" s="23" t="str">
        <f>IF('Bets'!C974="","",IF(COUNTIF('Bets'!$C$2:C974,'Bets'!C974)=1,MAX($H$4:H976)+1,""))</f>
        <v> </v>
      </c>
    </row>
    <row r="978" spans="8:8">
      <c r="H978" s="23" t="str">
        <f>IF('Bets'!C975="","",IF(COUNTIF('Bets'!$C$2:C975,'Bets'!C975)=1,MAX($H$4:H977)+1,""))</f>
        <v> </v>
      </c>
    </row>
    <row r="979" spans="8:8">
      <c r="H979" s="23" t="str">
        <f>IF('Bets'!C976="","",IF(COUNTIF('Bets'!$C$2:C976,'Bets'!C976)=1,MAX($H$4:H978)+1,""))</f>
        <v> </v>
      </c>
    </row>
    <row r="980" spans="8:8">
      <c r="H980" s="23" t="str">
        <f>IF('Bets'!C977="","",IF(COUNTIF('Bets'!$C$2:C977,'Bets'!C977)=1,MAX($H$4:H979)+1,""))</f>
        <v> </v>
      </c>
    </row>
    <row r="981" spans="8:8">
      <c r="H981" s="23" t="str">
        <f>IF('Bets'!C978="","",IF(COUNTIF('Bets'!$C$2:C978,'Bets'!C978)=1,MAX($H$4:H980)+1,""))</f>
        <v> </v>
      </c>
    </row>
    <row r="982" spans="8:8">
      <c r="H982" s="23" t="str">
        <f>IF('Bets'!C979="","",IF(COUNTIF('Bets'!$C$2:C979,'Bets'!C979)=1,MAX($H$4:H981)+1,""))</f>
        <v> </v>
      </c>
    </row>
    <row r="983" spans="8:8">
      <c r="H983" s="23" t="str">
        <f>IF('Bets'!C980="","",IF(COUNTIF('Bets'!$C$2:C980,'Bets'!C980)=1,MAX($H$4:H982)+1,""))</f>
        <v> </v>
      </c>
    </row>
    <row r="984" spans="8:8">
      <c r="H984" s="23" t="str">
        <f>IF('Bets'!C981="","",IF(COUNTIF('Bets'!$C$2:C981,'Bets'!C981)=1,MAX($H$4:H983)+1,""))</f>
        <v> </v>
      </c>
    </row>
    <row r="985" spans="8:8">
      <c r="H985" s="23" t="str">
        <f>IF('Bets'!C982="","",IF(COUNTIF('Bets'!$C$2:C982,'Bets'!C982)=1,MAX($H$4:H984)+1,""))</f>
        <v> </v>
      </c>
    </row>
    <row r="986" spans="8:8">
      <c r="H986" s="23" t="str">
        <f>IF('Bets'!C983="","",IF(COUNTIF('Bets'!$C$2:C983,'Bets'!C983)=1,MAX($H$4:H985)+1,""))</f>
        <v> </v>
      </c>
    </row>
    <row r="987" spans="8:8">
      <c r="H987" s="23" t="str">
        <f>IF('Bets'!C984="","",IF(COUNTIF('Bets'!$C$2:C984,'Bets'!C984)=1,MAX($H$4:H986)+1,""))</f>
        <v> </v>
      </c>
    </row>
    <row r="988" spans="8:8">
      <c r="H988" s="23" t="str">
        <f>IF('Bets'!C985="","",IF(COUNTIF('Bets'!$C$2:C985,'Bets'!C985)=1,MAX($H$4:H987)+1,""))</f>
        <v> </v>
      </c>
    </row>
    <row r="989" spans="8:8">
      <c r="H989" s="23" t="str">
        <f>IF('Bets'!C986="","",IF(COUNTIF('Bets'!$C$2:C986,'Bets'!C986)=1,MAX($H$4:H988)+1,""))</f>
        <v> </v>
      </c>
    </row>
    <row r="990" spans="8:8">
      <c r="H990" s="23" t="str">
        <f>IF('Bets'!C987="","",IF(COUNTIF('Bets'!$C$2:C987,'Bets'!C987)=1,MAX($H$4:H989)+1,""))</f>
        <v> </v>
      </c>
    </row>
    <row r="991" spans="8:8">
      <c r="H991" s="23" t="str">
        <f>IF('Bets'!C988="","",IF(COUNTIF('Bets'!$C$2:C988,'Bets'!C988)=1,MAX($H$4:H990)+1,""))</f>
        <v> </v>
      </c>
    </row>
    <row r="992" spans="8:8">
      <c r="H992" s="23" t="str">
        <f>IF('Bets'!C989="","",IF(COUNTIF('Bets'!$C$2:C989,'Bets'!C989)=1,MAX($H$4:H991)+1,""))</f>
        <v> </v>
      </c>
    </row>
    <row r="993" spans="8:8">
      <c r="H993" s="23" t="str">
        <f>IF('Bets'!C990="","",IF(COUNTIF('Bets'!$C$2:C990,'Bets'!C990)=1,MAX($H$4:H992)+1,""))</f>
        <v> </v>
      </c>
    </row>
    <row r="994" spans="8:8">
      <c r="H994" s="23" t="str">
        <f>IF('Bets'!C991="","",IF(COUNTIF('Bets'!$C$2:C991,'Bets'!C991)=1,MAX($H$4:H993)+1,""))</f>
        <v> </v>
      </c>
    </row>
    <row r="995" spans="8:8">
      <c r="H995" s="23" t="str">
        <f>IF('Bets'!C992="","",IF(COUNTIF('Bets'!$C$2:C992,'Bets'!C992)=1,MAX($H$4:H994)+1,""))</f>
        <v> </v>
      </c>
    </row>
    <row r="996" spans="8:8">
      <c r="H996" s="23" t="str">
        <f>IF('Bets'!C993="","",IF(COUNTIF('Bets'!$C$2:C993,'Bets'!C993)=1,MAX($H$4:H995)+1,""))</f>
        <v> </v>
      </c>
    </row>
    <row r="997" spans="8:8">
      <c r="H997" s="23" t="str">
        <f>IF('Bets'!C994="","",IF(COUNTIF('Bets'!$C$2:C994,'Bets'!C994)=1,MAX($H$4:H996)+1,""))</f>
        <v> </v>
      </c>
    </row>
    <row r="998" spans="8:8">
      <c r="H998" s="23" t="str">
        <f>IF('Bets'!C995="","",IF(COUNTIF('Bets'!$C$2:C995,'Bets'!C995)=1,MAX($H$4:H997)+1,""))</f>
        <v> </v>
      </c>
    </row>
    <row r="999" spans="8:8">
      <c r="H999" s="23" t="str">
        <f>IF('Bets'!C996="","",IF(COUNTIF('Bets'!$C$2:C996,'Bets'!C996)=1,MAX($H$4:H998)+1,""))</f>
        <v> </v>
      </c>
    </row>
    <row r="1000" spans="8:8">
      <c r="H1000" s="23" t="str">
        <f>IF('Bets'!C997="","",IF(COUNTIF('Bets'!$C$2:C997,'Bets'!C997)=1,MAX($H$4:H999)+1,""))</f>
        <v> </v>
      </c>
    </row>
    <row r="1001" spans="8:8">
      <c r="H1001" s="23" t="str">
        <f>IF('Bets'!C998="","",IF(COUNTIF('Bets'!$C$2:C998,'Bets'!C998)=1,MAX($H$4:H1000)+1,""))</f>
        <v> </v>
      </c>
    </row>
    <row r="1002" spans="8:8">
      <c r="H1002" s="23" t="str">
        <f>IF('Bets'!C999="","",IF(COUNTIF('Bets'!$C$2:C999,'Bets'!C999)=1,MAX($H$4:H1001)+1,""))</f>
        <v> </v>
      </c>
    </row>
    <row r="1003" spans="8:8">
      <c r="H1003" s="23" t="str">
        <f>IF('Bets'!C1000="","",IF(COUNTIF('Bets'!$C$2:C1000,'Bets'!C1000)=1,MAX($H$4:H1002)+1,""))</f>
        <v> </v>
      </c>
    </row>
  </sheetData>
  <mergeCells count="1"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65</v>
      </c>
    </row>
    <row r="2" spans="1:5" ht="30" customHeight="1">
      <c r="A2" s="8" t="s">
        <v>66</v>
      </c>
      <c r="B2" s="8"/>
      <c r="C2" s="8"/>
      <c r="D2" s="8"/>
      <c r="E2" s="8"/>
    </row>
    <row r="4" spans="1:5">
      <c r="A4" s="1" t="s">
        <v>10</v>
      </c>
      <c r="B4" s="1" t="s">
        <v>63</v>
      </c>
    </row>
    <row r="5" spans="1:5">
      <c r="A5" s="22" t="s">
        <v>20</v>
      </c>
      <c r="B5" s="22">
        <f>COUNTIF('Bets'!$K$2:$K$1000,$A5)</f>
        <v>2</v>
      </c>
    </row>
    <row r="6" spans="1:5">
      <c r="A6" s="22" t="s">
        <v>26</v>
      </c>
      <c r="B6" s="22">
        <f>COUNTIF('Bets'!$K$2:$K$1000,$A6)</f>
        <v>2</v>
      </c>
    </row>
    <row r="7" spans="1:5">
      <c r="A7" s="22" t="s">
        <v>67</v>
      </c>
      <c r="B7" s="22">
        <f>COUNTIF('Bets'!$K$2:$K$1000,$A7)</f>
        <v>0</v>
      </c>
    </row>
    <row r="8" spans="1:5">
      <c r="A8" s="22" t="s">
        <v>36</v>
      </c>
      <c r="B8" s="22">
        <f>COUNTIF('Bets'!$K$2:$K$1000,$A8)</f>
        <v>1</v>
      </c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4.7109375" customWidth="1"/>
    <col min="4" max="5" width="11.7109375" customWidth="1"/>
  </cols>
  <sheetData>
    <row r="1" spans="1:5">
      <c r="A1" s="7" t="s">
        <v>68</v>
      </c>
    </row>
    <row r="2" spans="1:5" ht="30" customHeight="1">
      <c r="A2" s="8" t="s">
        <v>69</v>
      </c>
      <c r="B2" s="8"/>
      <c r="C2" s="8"/>
      <c r="D2" s="8"/>
      <c r="E2" s="8"/>
    </row>
    <row r="4" spans="1:5">
      <c r="A4" s="1" t="s">
        <v>70</v>
      </c>
      <c r="B4" s="1" t="s">
        <v>71</v>
      </c>
    </row>
    <row r="5" spans="1:5">
      <c r="A5" s="22">
        <v>0</v>
      </c>
      <c r="B5" s="20">
        <f>'Summary'!$B$4</f>
        <v>200</v>
      </c>
    </row>
    <row r="6" spans="1:5">
      <c r="A6" s="22">
        <f>IF(ISNUMBER('Bets'!N2),1,NA())</f>
        <v>1</v>
      </c>
      <c r="B6" s="20">
        <f>IF(ISNUMBER('Bets'!N2),'Bets'!N2,NA())</f>
        <v>208.5</v>
      </c>
    </row>
    <row r="7" spans="1:5">
      <c r="A7" s="22">
        <f>IF(ISNUMBER('Bets'!N3),2,NA())</f>
        <v>2</v>
      </c>
      <c r="B7" s="20">
        <f>IF(ISNUMBER('Bets'!N3),'Bets'!N3,NA())</f>
        <v>193.5</v>
      </c>
    </row>
    <row r="8" spans="1:5">
      <c r="A8" s="22">
        <f>IF(ISNUMBER('Bets'!N4),3,NA())</f>
        <v>3</v>
      </c>
      <c r="B8" s="20">
        <f>IF(ISNUMBER('Bets'!N4),'Bets'!N4,NA())</f>
        <v>188.5</v>
      </c>
    </row>
    <row r="9" spans="1:5">
      <c r="A9" s="22">
        <f>IF(ISNUMBER('Bets'!N5),4,NA())</f>
        <v>4</v>
      </c>
      <c r="B9" s="20">
        <f>IF(ISNUMBER('Bets'!N5),'Bets'!N5,NA())</f>
        <v>197.5</v>
      </c>
    </row>
    <row r="10" spans="1:5">
      <c r="A10" s="22">
        <f>IF(ISNUMBER('Bets'!N6),5,NA())</f>
        <v>5</v>
      </c>
      <c r="B10" s="20">
        <f>IF(ISNUMBER('Bets'!N6),'Bets'!N6,NA())</f>
        <v>201.5</v>
      </c>
    </row>
    <row r="11" spans="1:5">
      <c r="A11" s="22" t="e">
        <f>IF(ISNUMBER('Bets'!N7),6,NA())</f>
        <v>#N/A</v>
      </c>
      <c r="B11" s="20" t="e">
        <f>IF(ISNUMBER('Bets'!N7),'Bets'!N7,NA())</f>
        <v>#N/A</v>
      </c>
    </row>
    <row r="12" spans="1:5">
      <c r="A12" s="22" t="e">
        <f>IF(ISNUMBER('Bets'!N8),7,NA())</f>
        <v>#N/A</v>
      </c>
      <c r="B12" s="20" t="e">
        <f>IF(ISNUMBER('Bets'!N8),'Bets'!N8,NA())</f>
        <v>#N/A</v>
      </c>
    </row>
    <row r="13" spans="1:5">
      <c r="A13" s="22" t="e">
        <f>IF(ISNUMBER('Bets'!N9),8,NA())</f>
        <v>#N/A</v>
      </c>
      <c r="B13" s="20" t="e">
        <f>IF(ISNUMBER('Bets'!N9),'Bets'!N9,NA())</f>
        <v>#N/A</v>
      </c>
    </row>
    <row r="14" spans="1:5">
      <c r="A14" s="22" t="e">
        <f>IF(ISNUMBER('Bets'!N10),9,NA())</f>
        <v>#N/A</v>
      </c>
      <c r="B14" s="20" t="e">
        <f>IF(ISNUMBER('Bets'!N10),'Bets'!N10,NA())</f>
        <v>#N/A</v>
      </c>
    </row>
    <row r="15" spans="1:5">
      <c r="A15" s="22" t="e">
        <f>IF(ISNUMBER('Bets'!N11),10,NA())</f>
        <v>#N/A</v>
      </c>
      <c r="B15" s="20" t="e">
        <f>IF(ISNUMBER('Bets'!N11),'Bets'!N11,NA())</f>
        <v>#N/A</v>
      </c>
    </row>
    <row r="16" spans="1:5">
      <c r="A16" s="22" t="e">
        <f>IF(ISNUMBER('Bets'!N12),11,NA())</f>
        <v>#N/A</v>
      </c>
      <c r="B16" s="20" t="e">
        <f>IF(ISNUMBER('Bets'!N12),'Bets'!N12,NA())</f>
        <v>#N/A</v>
      </c>
    </row>
    <row r="17" spans="1:2">
      <c r="A17" s="22" t="e">
        <f>IF(ISNUMBER('Bets'!N13),12,NA())</f>
        <v>#N/A</v>
      </c>
      <c r="B17" s="20" t="e">
        <f>IF(ISNUMBER('Bets'!N13),'Bets'!N13,NA())</f>
        <v>#N/A</v>
      </c>
    </row>
    <row r="18" spans="1:2">
      <c r="A18" s="22" t="e">
        <f>IF(ISNUMBER('Bets'!N14),13,NA())</f>
        <v>#N/A</v>
      </c>
      <c r="B18" s="20" t="e">
        <f>IF(ISNUMBER('Bets'!N14),'Bets'!N14,NA())</f>
        <v>#N/A</v>
      </c>
    </row>
    <row r="19" spans="1:2">
      <c r="A19" s="22" t="e">
        <f>IF(ISNUMBER('Bets'!N15),14,NA())</f>
        <v>#N/A</v>
      </c>
      <c r="B19" s="20" t="e">
        <f>IF(ISNUMBER('Bets'!N15),'Bets'!N15,NA())</f>
        <v>#N/A</v>
      </c>
    </row>
    <row r="20" spans="1:2">
      <c r="A20" s="22" t="e">
        <f>IF(ISNUMBER('Bets'!N16),15,NA())</f>
        <v>#N/A</v>
      </c>
      <c r="B20" s="20" t="e">
        <f>IF(ISNUMBER('Bets'!N16),'Bets'!N16,NA())</f>
        <v>#N/A</v>
      </c>
    </row>
    <row r="21" spans="1:2">
      <c r="A21" s="22" t="e">
        <f>IF(ISNUMBER('Bets'!N17),16,NA())</f>
        <v>#N/A</v>
      </c>
      <c r="B21" s="20" t="e">
        <f>IF(ISNUMBER('Bets'!N17),'Bets'!N17,NA())</f>
        <v>#N/A</v>
      </c>
    </row>
    <row r="22" spans="1:2">
      <c r="A22" s="22" t="e">
        <f>IF(ISNUMBER('Bets'!N18),17,NA())</f>
        <v>#N/A</v>
      </c>
      <c r="B22" s="20" t="e">
        <f>IF(ISNUMBER('Bets'!N18),'Bets'!N18,NA())</f>
        <v>#N/A</v>
      </c>
    </row>
    <row r="23" spans="1:2">
      <c r="A23" s="22" t="e">
        <f>IF(ISNUMBER('Bets'!N19),18,NA())</f>
        <v>#N/A</v>
      </c>
      <c r="B23" s="20" t="e">
        <f>IF(ISNUMBER('Bets'!N19),'Bets'!N19,NA())</f>
        <v>#N/A</v>
      </c>
    </row>
    <row r="24" spans="1:2">
      <c r="A24" s="22" t="e">
        <f>IF(ISNUMBER('Bets'!N20),19,NA())</f>
        <v>#N/A</v>
      </c>
      <c r="B24" s="20" t="e">
        <f>IF(ISNUMBER('Bets'!N20),'Bets'!N20,NA())</f>
        <v>#N/A</v>
      </c>
    </row>
    <row r="25" spans="1:2">
      <c r="A25" s="22" t="e">
        <f>IF(ISNUMBER('Bets'!N21),20,NA())</f>
        <v>#N/A</v>
      </c>
      <c r="B25" s="20" t="e">
        <f>IF(ISNUMBER('Bets'!N21),'Bets'!N21,NA())</f>
        <v>#N/A</v>
      </c>
    </row>
    <row r="26" spans="1:2">
      <c r="A26" s="22" t="e">
        <f>IF(ISNUMBER('Bets'!N22),21,NA())</f>
        <v>#N/A</v>
      </c>
      <c r="B26" s="20" t="e">
        <f>IF(ISNUMBER('Bets'!N22),'Bets'!N22,NA())</f>
        <v>#N/A</v>
      </c>
    </row>
    <row r="27" spans="1:2">
      <c r="A27" s="22" t="e">
        <f>IF(ISNUMBER('Bets'!N23),22,NA())</f>
        <v>#N/A</v>
      </c>
      <c r="B27" s="20" t="e">
        <f>IF(ISNUMBER('Bets'!N23),'Bets'!N23,NA())</f>
        <v>#N/A</v>
      </c>
    </row>
    <row r="28" spans="1:2">
      <c r="A28" s="22" t="e">
        <f>IF(ISNUMBER('Bets'!N24),23,NA())</f>
        <v>#N/A</v>
      </c>
      <c r="B28" s="20" t="e">
        <f>IF(ISNUMBER('Bets'!N24),'Bets'!N24,NA())</f>
        <v>#N/A</v>
      </c>
    </row>
    <row r="29" spans="1:2">
      <c r="A29" s="22" t="e">
        <f>IF(ISNUMBER('Bets'!N25),24,NA())</f>
        <v>#N/A</v>
      </c>
      <c r="B29" s="20" t="e">
        <f>IF(ISNUMBER('Bets'!N25),'Bets'!N25,NA())</f>
        <v>#N/A</v>
      </c>
    </row>
    <row r="30" spans="1:2">
      <c r="A30" s="22" t="e">
        <f>IF(ISNUMBER('Bets'!N26),25,NA())</f>
        <v>#N/A</v>
      </c>
      <c r="B30" s="20" t="e">
        <f>IF(ISNUMBER('Bets'!N26),'Bets'!N26,NA())</f>
        <v>#N/A</v>
      </c>
    </row>
    <row r="31" spans="1:2">
      <c r="A31" s="22" t="e">
        <f>IF(ISNUMBER('Bets'!N27),26,NA())</f>
        <v>#N/A</v>
      </c>
      <c r="B31" s="20" t="e">
        <f>IF(ISNUMBER('Bets'!N27),'Bets'!N27,NA())</f>
        <v>#N/A</v>
      </c>
    </row>
    <row r="32" spans="1:2">
      <c r="A32" s="22" t="e">
        <f>IF(ISNUMBER('Bets'!N28),27,NA())</f>
        <v>#N/A</v>
      </c>
      <c r="B32" s="20" t="e">
        <f>IF(ISNUMBER('Bets'!N28),'Bets'!N28,NA())</f>
        <v>#N/A</v>
      </c>
    </row>
    <row r="33" spans="1:2">
      <c r="A33" s="22" t="e">
        <f>IF(ISNUMBER('Bets'!N29),28,NA())</f>
        <v>#N/A</v>
      </c>
      <c r="B33" s="20" t="e">
        <f>IF(ISNUMBER('Bets'!N29),'Bets'!N29,NA())</f>
        <v>#N/A</v>
      </c>
    </row>
    <row r="34" spans="1:2">
      <c r="A34" s="22" t="e">
        <f>IF(ISNUMBER('Bets'!N30),29,NA())</f>
        <v>#N/A</v>
      </c>
      <c r="B34" s="20" t="e">
        <f>IF(ISNUMBER('Bets'!N30),'Bets'!N30,NA())</f>
        <v>#N/A</v>
      </c>
    </row>
    <row r="35" spans="1:2">
      <c r="A35" s="22" t="e">
        <f>IF(ISNUMBER('Bets'!N31),30,NA())</f>
        <v>#N/A</v>
      </c>
      <c r="B35" s="20" t="e">
        <f>IF(ISNUMBER('Bets'!N31),'Bets'!N31,NA())</f>
        <v>#N/A</v>
      </c>
    </row>
    <row r="36" spans="1:2">
      <c r="A36" s="22" t="e">
        <f>IF(ISNUMBER('Bets'!N32),31,NA())</f>
        <v>#N/A</v>
      </c>
      <c r="B36" s="20" t="e">
        <f>IF(ISNUMBER('Bets'!N32),'Bets'!N32,NA())</f>
        <v>#N/A</v>
      </c>
    </row>
    <row r="37" spans="1:2">
      <c r="A37" s="22" t="e">
        <f>IF(ISNUMBER('Bets'!N33),32,NA())</f>
        <v>#N/A</v>
      </c>
      <c r="B37" s="20" t="e">
        <f>IF(ISNUMBER('Bets'!N33),'Bets'!N33,NA())</f>
        <v>#N/A</v>
      </c>
    </row>
    <row r="38" spans="1:2">
      <c r="A38" s="22" t="e">
        <f>IF(ISNUMBER('Bets'!N34),33,NA())</f>
        <v>#N/A</v>
      </c>
      <c r="B38" s="20" t="e">
        <f>IF(ISNUMBER('Bets'!N34),'Bets'!N34,NA())</f>
        <v>#N/A</v>
      </c>
    </row>
    <row r="39" spans="1:2">
      <c r="A39" s="22" t="e">
        <f>IF(ISNUMBER('Bets'!N35),34,NA())</f>
        <v>#N/A</v>
      </c>
      <c r="B39" s="20" t="e">
        <f>IF(ISNUMBER('Bets'!N35),'Bets'!N35,NA())</f>
        <v>#N/A</v>
      </c>
    </row>
    <row r="40" spans="1:2">
      <c r="A40" s="22" t="e">
        <f>IF(ISNUMBER('Bets'!N36),35,NA())</f>
        <v>#N/A</v>
      </c>
      <c r="B40" s="20" t="e">
        <f>IF(ISNUMBER('Bets'!N36),'Bets'!N36,NA())</f>
        <v>#N/A</v>
      </c>
    </row>
    <row r="41" spans="1:2">
      <c r="A41" s="22" t="e">
        <f>IF(ISNUMBER('Bets'!N37),36,NA())</f>
        <v>#N/A</v>
      </c>
      <c r="B41" s="20" t="e">
        <f>IF(ISNUMBER('Bets'!N37),'Bets'!N37,NA())</f>
        <v>#N/A</v>
      </c>
    </row>
    <row r="42" spans="1:2">
      <c r="A42" s="22" t="e">
        <f>IF(ISNUMBER('Bets'!N38),37,NA())</f>
        <v>#N/A</v>
      </c>
      <c r="B42" s="20" t="e">
        <f>IF(ISNUMBER('Bets'!N38),'Bets'!N38,NA())</f>
        <v>#N/A</v>
      </c>
    </row>
    <row r="43" spans="1:2">
      <c r="A43" s="22" t="e">
        <f>IF(ISNUMBER('Bets'!N39),38,NA())</f>
        <v>#N/A</v>
      </c>
      <c r="B43" s="20" t="e">
        <f>IF(ISNUMBER('Bets'!N39),'Bets'!N39,NA())</f>
        <v>#N/A</v>
      </c>
    </row>
    <row r="44" spans="1:2">
      <c r="A44" s="22" t="e">
        <f>IF(ISNUMBER('Bets'!N40),39,NA())</f>
        <v>#N/A</v>
      </c>
      <c r="B44" s="20" t="e">
        <f>IF(ISNUMBER('Bets'!N40),'Bets'!N40,NA())</f>
        <v>#N/A</v>
      </c>
    </row>
    <row r="45" spans="1:2">
      <c r="A45" s="22" t="e">
        <f>IF(ISNUMBER('Bets'!N41),40,NA())</f>
        <v>#N/A</v>
      </c>
      <c r="B45" s="20" t="e">
        <f>IF(ISNUMBER('Bets'!N41),'Bets'!N41,NA())</f>
        <v>#N/A</v>
      </c>
    </row>
    <row r="46" spans="1:2">
      <c r="A46" s="22" t="e">
        <f>IF(ISNUMBER('Bets'!N42),41,NA())</f>
        <v>#N/A</v>
      </c>
      <c r="B46" s="20" t="e">
        <f>IF(ISNUMBER('Bets'!N42),'Bets'!N42,NA())</f>
        <v>#N/A</v>
      </c>
    </row>
    <row r="47" spans="1:2">
      <c r="A47" s="22" t="e">
        <f>IF(ISNUMBER('Bets'!N43),42,NA())</f>
        <v>#N/A</v>
      </c>
      <c r="B47" s="20" t="e">
        <f>IF(ISNUMBER('Bets'!N43),'Bets'!N43,NA())</f>
        <v>#N/A</v>
      </c>
    </row>
    <row r="48" spans="1:2">
      <c r="A48" s="22" t="e">
        <f>IF(ISNUMBER('Bets'!N44),43,NA())</f>
        <v>#N/A</v>
      </c>
      <c r="B48" s="20" t="e">
        <f>IF(ISNUMBER('Bets'!N44),'Bets'!N44,NA())</f>
        <v>#N/A</v>
      </c>
    </row>
    <row r="49" spans="1:2">
      <c r="A49" s="22" t="e">
        <f>IF(ISNUMBER('Bets'!N45),44,NA())</f>
        <v>#N/A</v>
      </c>
      <c r="B49" s="20" t="e">
        <f>IF(ISNUMBER('Bets'!N45),'Bets'!N45,NA())</f>
        <v>#N/A</v>
      </c>
    </row>
    <row r="50" spans="1:2">
      <c r="A50" s="22" t="e">
        <f>IF(ISNUMBER('Bets'!N46),45,NA())</f>
        <v>#N/A</v>
      </c>
      <c r="B50" s="20" t="e">
        <f>IF(ISNUMBER('Bets'!N46),'Bets'!N46,NA())</f>
        <v>#N/A</v>
      </c>
    </row>
    <row r="51" spans="1:2">
      <c r="A51" s="22" t="e">
        <f>IF(ISNUMBER('Bets'!N47),46,NA())</f>
        <v>#N/A</v>
      </c>
      <c r="B51" s="20" t="e">
        <f>IF(ISNUMBER('Bets'!N47),'Bets'!N47,NA())</f>
        <v>#N/A</v>
      </c>
    </row>
    <row r="52" spans="1:2">
      <c r="A52" s="22" t="e">
        <f>IF(ISNUMBER('Bets'!N48),47,NA())</f>
        <v>#N/A</v>
      </c>
      <c r="B52" s="20" t="e">
        <f>IF(ISNUMBER('Bets'!N48),'Bets'!N48,NA())</f>
        <v>#N/A</v>
      </c>
    </row>
    <row r="53" spans="1:2">
      <c r="A53" s="22" t="e">
        <f>IF(ISNUMBER('Bets'!N49),48,NA())</f>
        <v>#N/A</v>
      </c>
      <c r="B53" s="20" t="e">
        <f>IF(ISNUMBER('Bets'!N49),'Bets'!N49,NA())</f>
        <v>#N/A</v>
      </c>
    </row>
    <row r="54" spans="1:2">
      <c r="A54" s="22" t="e">
        <f>IF(ISNUMBER('Bets'!N50),49,NA())</f>
        <v>#N/A</v>
      </c>
      <c r="B54" s="20" t="e">
        <f>IF(ISNUMBER('Bets'!N50),'Bets'!N50,NA())</f>
        <v>#N/A</v>
      </c>
    </row>
    <row r="55" spans="1:2">
      <c r="A55" s="22" t="e">
        <f>IF(ISNUMBER('Bets'!N51),50,NA())</f>
        <v>#N/A</v>
      </c>
      <c r="B55" s="20" t="e">
        <f>IF(ISNUMBER('Bets'!N51),'Bets'!N51,NA())</f>
        <v>#N/A</v>
      </c>
    </row>
    <row r="56" spans="1:2">
      <c r="A56" s="22" t="e">
        <f>IF(ISNUMBER('Bets'!N52),51,NA())</f>
        <v>#N/A</v>
      </c>
      <c r="B56" s="20" t="e">
        <f>IF(ISNUMBER('Bets'!N52),'Bets'!N52,NA())</f>
        <v>#N/A</v>
      </c>
    </row>
    <row r="57" spans="1:2">
      <c r="A57" s="22" t="e">
        <f>IF(ISNUMBER('Bets'!N53),52,NA())</f>
        <v>#N/A</v>
      </c>
      <c r="B57" s="20" t="e">
        <f>IF(ISNUMBER('Bets'!N53),'Bets'!N53,NA())</f>
        <v>#N/A</v>
      </c>
    </row>
    <row r="58" spans="1:2">
      <c r="A58" s="22" t="e">
        <f>IF(ISNUMBER('Bets'!N54),53,NA())</f>
        <v>#N/A</v>
      </c>
      <c r="B58" s="20" t="e">
        <f>IF(ISNUMBER('Bets'!N54),'Bets'!N54,NA())</f>
        <v>#N/A</v>
      </c>
    </row>
    <row r="59" spans="1:2">
      <c r="A59" s="22" t="e">
        <f>IF(ISNUMBER('Bets'!N55),54,NA())</f>
        <v>#N/A</v>
      </c>
      <c r="B59" s="20" t="e">
        <f>IF(ISNUMBER('Bets'!N55),'Bets'!N55,NA())</f>
        <v>#N/A</v>
      </c>
    </row>
    <row r="60" spans="1:2">
      <c r="A60" s="22" t="e">
        <f>IF(ISNUMBER('Bets'!N56),55,NA())</f>
        <v>#N/A</v>
      </c>
      <c r="B60" s="20" t="e">
        <f>IF(ISNUMBER('Bets'!N56),'Bets'!N56,NA())</f>
        <v>#N/A</v>
      </c>
    </row>
    <row r="61" spans="1:2">
      <c r="A61" s="22" t="e">
        <f>IF(ISNUMBER('Bets'!N57),56,NA())</f>
        <v>#N/A</v>
      </c>
      <c r="B61" s="20" t="e">
        <f>IF(ISNUMBER('Bets'!N57),'Bets'!N57,NA())</f>
        <v>#N/A</v>
      </c>
    </row>
    <row r="62" spans="1:2">
      <c r="A62" s="22" t="e">
        <f>IF(ISNUMBER('Bets'!N58),57,NA())</f>
        <v>#N/A</v>
      </c>
      <c r="B62" s="20" t="e">
        <f>IF(ISNUMBER('Bets'!N58),'Bets'!N58,NA())</f>
        <v>#N/A</v>
      </c>
    </row>
    <row r="63" spans="1:2">
      <c r="A63" s="22" t="e">
        <f>IF(ISNUMBER('Bets'!N59),58,NA())</f>
        <v>#N/A</v>
      </c>
      <c r="B63" s="20" t="e">
        <f>IF(ISNUMBER('Bets'!N59),'Bets'!N59,NA())</f>
        <v>#N/A</v>
      </c>
    </row>
    <row r="64" spans="1:2">
      <c r="A64" s="22" t="e">
        <f>IF(ISNUMBER('Bets'!N60),59,NA())</f>
        <v>#N/A</v>
      </c>
      <c r="B64" s="20" t="e">
        <f>IF(ISNUMBER('Bets'!N60),'Bets'!N60,NA())</f>
        <v>#N/A</v>
      </c>
    </row>
    <row r="65" spans="1:2">
      <c r="A65" s="22" t="e">
        <f>IF(ISNUMBER('Bets'!N61),60,NA())</f>
        <v>#N/A</v>
      </c>
      <c r="B65" s="20" t="e">
        <f>IF(ISNUMBER('Bets'!N61),'Bets'!N61,NA())</f>
        <v>#N/A</v>
      </c>
    </row>
    <row r="66" spans="1:2">
      <c r="A66" s="22" t="e">
        <f>IF(ISNUMBER('Bets'!N62),61,NA())</f>
        <v>#N/A</v>
      </c>
      <c r="B66" s="20" t="e">
        <f>IF(ISNUMBER('Bets'!N62),'Bets'!N62,NA())</f>
        <v>#N/A</v>
      </c>
    </row>
    <row r="67" spans="1:2">
      <c r="A67" s="22" t="e">
        <f>IF(ISNUMBER('Bets'!N63),62,NA())</f>
        <v>#N/A</v>
      </c>
      <c r="B67" s="20" t="e">
        <f>IF(ISNUMBER('Bets'!N63),'Bets'!N63,NA())</f>
        <v>#N/A</v>
      </c>
    </row>
    <row r="68" spans="1:2">
      <c r="A68" s="22" t="e">
        <f>IF(ISNUMBER('Bets'!N64),63,NA())</f>
        <v>#N/A</v>
      </c>
      <c r="B68" s="20" t="e">
        <f>IF(ISNUMBER('Bets'!N64),'Bets'!N64,NA())</f>
        <v>#N/A</v>
      </c>
    </row>
    <row r="69" spans="1:2">
      <c r="A69" s="22" t="e">
        <f>IF(ISNUMBER('Bets'!N65),64,NA())</f>
        <v>#N/A</v>
      </c>
      <c r="B69" s="20" t="e">
        <f>IF(ISNUMBER('Bets'!N65),'Bets'!N65,NA())</f>
        <v>#N/A</v>
      </c>
    </row>
    <row r="70" spans="1:2">
      <c r="A70" s="22" t="e">
        <f>IF(ISNUMBER('Bets'!N66),65,NA())</f>
        <v>#N/A</v>
      </c>
      <c r="B70" s="20" t="e">
        <f>IF(ISNUMBER('Bets'!N66),'Bets'!N66,NA())</f>
        <v>#N/A</v>
      </c>
    </row>
    <row r="71" spans="1:2">
      <c r="A71" s="22" t="e">
        <f>IF(ISNUMBER('Bets'!N67),66,NA())</f>
        <v>#N/A</v>
      </c>
      <c r="B71" s="20" t="e">
        <f>IF(ISNUMBER('Bets'!N67),'Bets'!N67,NA())</f>
        <v>#N/A</v>
      </c>
    </row>
    <row r="72" spans="1:2">
      <c r="A72" s="22" t="e">
        <f>IF(ISNUMBER('Bets'!N68),67,NA())</f>
        <v>#N/A</v>
      </c>
      <c r="B72" s="20" t="e">
        <f>IF(ISNUMBER('Bets'!N68),'Bets'!N68,NA())</f>
        <v>#N/A</v>
      </c>
    </row>
    <row r="73" spans="1:2">
      <c r="A73" s="22" t="e">
        <f>IF(ISNUMBER('Bets'!N69),68,NA())</f>
        <v>#N/A</v>
      </c>
      <c r="B73" s="20" t="e">
        <f>IF(ISNUMBER('Bets'!N69),'Bets'!N69,NA())</f>
        <v>#N/A</v>
      </c>
    </row>
    <row r="74" spans="1:2">
      <c r="A74" s="22" t="e">
        <f>IF(ISNUMBER('Bets'!N70),69,NA())</f>
        <v>#N/A</v>
      </c>
      <c r="B74" s="20" t="e">
        <f>IF(ISNUMBER('Bets'!N70),'Bets'!N70,NA())</f>
        <v>#N/A</v>
      </c>
    </row>
    <row r="75" spans="1:2">
      <c r="A75" s="22" t="e">
        <f>IF(ISNUMBER('Bets'!N71),70,NA())</f>
        <v>#N/A</v>
      </c>
      <c r="B75" s="20" t="e">
        <f>IF(ISNUMBER('Bets'!N71),'Bets'!N71,NA())</f>
        <v>#N/A</v>
      </c>
    </row>
    <row r="76" spans="1:2">
      <c r="A76" s="22" t="e">
        <f>IF(ISNUMBER('Bets'!N72),71,NA())</f>
        <v>#N/A</v>
      </c>
      <c r="B76" s="20" t="e">
        <f>IF(ISNUMBER('Bets'!N72),'Bets'!N72,NA())</f>
        <v>#N/A</v>
      </c>
    </row>
    <row r="77" spans="1:2">
      <c r="A77" s="22" t="e">
        <f>IF(ISNUMBER('Bets'!N73),72,NA())</f>
        <v>#N/A</v>
      </c>
      <c r="B77" s="20" t="e">
        <f>IF(ISNUMBER('Bets'!N73),'Bets'!N73,NA())</f>
        <v>#N/A</v>
      </c>
    </row>
    <row r="78" spans="1:2">
      <c r="A78" s="22" t="e">
        <f>IF(ISNUMBER('Bets'!N74),73,NA())</f>
        <v>#N/A</v>
      </c>
      <c r="B78" s="20" t="e">
        <f>IF(ISNUMBER('Bets'!N74),'Bets'!N74,NA())</f>
        <v>#N/A</v>
      </c>
    </row>
    <row r="79" spans="1:2">
      <c r="A79" s="22" t="e">
        <f>IF(ISNUMBER('Bets'!N75),74,NA())</f>
        <v>#N/A</v>
      </c>
      <c r="B79" s="20" t="e">
        <f>IF(ISNUMBER('Bets'!N75),'Bets'!N75,NA())</f>
        <v>#N/A</v>
      </c>
    </row>
    <row r="80" spans="1:2">
      <c r="A80" s="22" t="e">
        <f>IF(ISNUMBER('Bets'!N76),75,NA())</f>
        <v>#N/A</v>
      </c>
      <c r="B80" s="20" t="e">
        <f>IF(ISNUMBER('Bets'!N76),'Bets'!N76,NA())</f>
        <v>#N/A</v>
      </c>
    </row>
    <row r="81" spans="1:2">
      <c r="A81" s="22" t="e">
        <f>IF(ISNUMBER('Bets'!N77),76,NA())</f>
        <v>#N/A</v>
      </c>
      <c r="B81" s="20" t="e">
        <f>IF(ISNUMBER('Bets'!N77),'Bets'!N77,NA())</f>
        <v>#N/A</v>
      </c>
    </row>
    <row r="82" spans="1:2">
      <c r="A82" s="22" t="e">
        <f>IF(ISNUMBER('Bets'!N78),77,NA())</f>
        <v>#N/A</v>
      </c>
      <c r="B82" s="20" t="e">
        <f>IF(ISNUMBER('Bets'!N78),'Bets'!N78,NA())</f>
        <v>#N/A</v>
      </c>
    </row>
    <row r="83" spans="1:2">
      <c r="A83" s="22" t="e">
        <f>IF(ISNUMBER('Bets'!N79),78,NA())</f>
        <v>#N/A</v>
      </c>
      <c r="B83" s="20" t="e">
        <f>IF(ISNUMBER('Bets'!N79),'Bets'!N79,NA())</f>
        <v>#N/A</v>
      </c>
    </row>
    <row r="84" spans="1:2">
      <c r="A84" s="22" t="e">
        <f>IF(ISNUMBER('Bets'!N80),79,NA())</f>
        <v>#N/A</v>
      </c>
      <c r="B84" s="20" t="e">
        <f>IF(ISNUMBER('Bets'!N80),'Bets'!N80,NA())</f>
        <v>#N/A</v>
      </c>
    </row>
    <row r="85" spans="1:2">
      <c r="A85" s="22" t="e">
        <f>IF(ISNUMBER('Bets'!N81),80,NA())</f>
        <v>#N/A</v>
      </c>
      <c r="B85" s="20" t="e">
        <f>IF(ISNUMBER('Bets'!N81),'Bets'!N81,NA())</f>
        <v>#N/A</v>
      </c>
    </row>
    <row r="86" spans="1:2">
      <c r="A86" s="22" t="e">
        <f>IF(ISNUMBER('Bets'!N82),81,NA())</f>
        <v>#N/A</v>
      </c>
      <c r="B86" s="20" t="e">
        <f>IF(ISNUMBER('Bets'!N82),'Bets'!N82,NA())</f>
        <v>#N/A</v>
      </c>
    </row>
    <row r="87" spans="1:2">
      <c r="A87" s="22" t="e">
        <f>IF(ISNUMBER('Bets'!N83),82,NA())</f>
        <v>#N/A</v>
      </c>
      <c r="B87" s="20" t="e">
        <f>IF(ISNUMBER('Bets'!N83),'Bets'!N83,NA())</f>
        <v>#N/A</v>
      </c>
    </row>
    <row r="88" spans="1:2">
      <c r="A88" s="22" t="e">
        <f>IF(ISNUMBER('Bets'!N84),83,NA())</f>
        <v>#N/A</v>
      </c>
      <c r="B88" s="20" t="e">
        <f>IF(ISNUMBER('Bets'!N84),'Bets'!N84,NA())</f>
        <v>#N/A</v>
      </c>
    </row>
    <row r="89" spans="1:2">
      <c r="A89" s="22" t="e">
        <f>IF(ISNUMBER('Bets'!N85),84,NA())</f>
        <v>#N/A</v>
      </c>
      <c r="B89" s="20" t="e">
        <f>IF(ISNUMBER('Bets'!N85),'Bets'!N85,NA())</f>
        <v>#N/A</v>
      </c>
    </row>
    <row r="90" spans="1:2">
      <c r="A90" s="22" t="e">
        <f>IF(ISNUMBER('Bets'!N86),85,NA())</f>
        <v>#N/A</v>
      </c>
      <c r="B90" s="20" t="e">
        <f>IF(ISNUMBER('Bets'!N86),'Bets'!N86,NA())</f>
        <v>#N/A</v>
      </c>
    </row>
    <row r="91" spans="1:2">
      <c r="A91" s="22" t="e">
        <f>IF(ISNUMBER('Bets'!N87),86,NA())</f>
        <v>#N/A</v>
      </c>
      <c r="B91" s="20" t="e">
        <f>IF(ISNUMBER('Bets'!N87),'Bets'!N87,NA())</f>
        <v>#N/A</v>
      </c>
    </row>
    <row r="92" spans="1:2">
      <c r="A92" s="22" t="e">
        <f>IF(ISNUMBER('Bets'!N88),87,NA())</f>
        <v>#N/A</v>
      </c>
      <c r="B92" s="20" t="e">
        <f>IF(ISNUMBER('Bets'!N88),'Bets'!N88,NA())</f>
        <v>#N/A</v>
      </c>
    </row>
    <row r="93" spans="1:2">
      <c r="A93" s="22" t="e">
        <f>IF(ISNUMBER('Bets'!N89),88,NA())</f>
        <v>#N/A</v>
      </c>
      <c r="B93" s="20" t="e">
        <f>IF(ISNUMBER('Bets'!N89),'Bets'!N89,NA())</f>
        <v>#N/A</v>
      </c>
    </row>
    <row r="94" spans="1:2">
      <c r="A94" s="22" t="e">
        <f>IF(ISNUMBER('Bets'!N90),89,NA())</f>
        <v>#N/A</v>
      </c>
      <c r="B94" s="20" t="e">
        <f>IF(ISNUMBER('Bets'!N90),'Bets'!N90,NA())</f>
        <v>#N/A</v>
      </c>
    </row>
    <row r="95" spans="1:2">
      <c r="A95" s="22" t="e">
        <f>IF(ISNUMBER('Bets'!N91),90,NA())</f>
        <v>#N/A</v>
      </c>
      <c r="B95" s="20" t="e">
        <f>IF(ISNUMBER('Bets'!N91),'Bets'!N91,NA())</f>
        <v>#N/A</v>
      </c>
    </row>
    <row r="96" spans="1:2">
      <c r="A96" s="22" t="e">
        <f>IF(ISNUMBER('Bets'!N92),91,NA())</f>
        <v>#N/A</v>
      </c>
      <c r="B96" s="20" t="e">
        <f>IF(ISNUMBER('Bets'!N92),'Bets'!N92,NA())</f>
        <v>#N/A</v>
      </c>
    </row>
    <row r="97" spans="1:2">
      <c r="A97" s="22" t="e">
        <f>IF(ISNUMBER('Bets'!N93),92,NA())</f>
        <v>#N/A</v>
      </c>
      <c r="B97" s="20" t="e">
        <f>IF(ISNUMBER('Bets'!N93),'Bets'!N93,NA())</f>
        <v>#N/A</v>
      </c>
    </row>
    <row r="98" spans="1:2">
      <c r="A98" s="22" t="e">
        <f>IF(ISNUMBER('Bets'!N94),93,NA())</f>
        <v>#N/A</v>
      </c>
      <c r="B98" s="20" t="e">
        <f>IF(ISNUMBER('Bets'!N94),'Bets'!N94,NA())</f>
        <v>#N/A</v>
      </c>
    </row>
    <row r="99" spans="1:2">
      <c r="A99" s="22" t="e">
        <f>IF(ISNUMBER('Bets'!N95),94,NA())</f>
        <v>#N/A</v>
      </c>
      <c r="B99" s="20" t="e">
        <f>IF(ISNUMBER('Bets'!N95),'Bets'!N95,NA())</f>
        <v>#N/A</v>
      </c>
    </row>
    <row r="100" spans="1:2">
      <c r="A100" s="22" t="e">
        <f>IF(ISNUMBER('Bets'!N96),95,NA())</f>
        <v>#N/A</v>
      </c>
      <c r="B100" s="20" t="e">
        <f>IF(ISNUMBER('Bets'!N96),'Bets'!N96,NA())</f>
        <v>#N/A</v>
      </c>
    </row>
    <row r="101" spans="1:2">
      <c r="A101" s="22" t="e">
        <f>IF(ISNUMBER('Bets'!N97),96,NA())</f>
        <v>#N/A</v>
      </c>
      <c r="B101" s="20" t="e">
        <f>IF(ISNUMBER('Bets'!N97),'Bets'!N97,NA())</f>
        <v>#N/A</v>
      </c>
    </row>
    <row r="102" spans="1:2">
      <c r="A102" s="22" t="e">
        <f>IF(ISNUMBER('Bets'!N98),97,NA())</f>
        <v>#N/A</v>
      </c>
      <c r="B102" s="20" t="e">
        <f>IF(ISNUMBER('Bets'!N98),'Bets'!N98,NA())</f>
        <v>#N/A</v>
      </c>
    </row>
    <row r="103" spans="1:2">
      <c r="A103" s="22" t="e">
        <f>IF(ISNUMBER('Bets'!N99),98,NA())</f>
        <v>#N/A</v>
      </c>
      <c r="B103" s="20" t="e">
        <f>IF(ISNUMBER('Bets'!N99),'Bets'!N99,NA())</f>
        <v>#N/A</v>
      </c>
    </row>
    <row r="104" spans="1:2">
      <c r="A104" s="22" t="e">
        <f>IF(ISNUMBER('Bets'!N100),99,NA())</f>
        <v>#N/A</v>
      </c>
      <c r="B104" s="20" t="e">
        <f>IF(ISNUMBER('Bets'!N100),'Bets'!N100,NA())</f>
        <v>#N/A</v>
      </c>
    </row>
    <row r="105" spans="1:2">
      <c r="A105" s="22" t="e">
        <f>IF(ISNUMBER('Bets'!N101),100,NA())</f>
        <v>#N/A</v>
      </c>
      <c r="B105" s="20" t="e">
        <f>IF(ISNUMBER('Bets'!N101),'Bets'!N101,NA())</f>
        <v>#N/A</v>
      </c>
    </row>
    <row r="106" spans="1:2">
      <c r="A106" s="22" t="e">
        <f>IF(ISNUMBER('Bets'!N102),101,NA())</f>
        <v>#N/A</v>
      </c>
      <c r="B106" s="20" t="e">
        <f>IF(ISNUMBER('Bets'!N102),'Bets'!N102,NA())</f>
        <v>#N/A</v>
      </c>
    </row>
    <row r="107" spans="1:2">
      <c r="A107" s="22" t="e">
        <f>IF(ISNUMBER('Bets'!N103),102,NA())</f>
        <v>#N/A</v>
      </c>
      <c r="B107" s="20" t="e">
        <f>IF(ISNUMBER('Bets'!N103),'Bets'!N103,NA())</f>
        <v>#N/A</v>
      </c>
    </row>
    <row r="108" spans="1:2">
      <c r="A108" s="22" t="e">
        <f>IF(ISNUMBER('Bets'!N104),103,NA())</f>
        <v>#N/A</v>
      </c>
      <c r="B108" s="20" t="e">
        <f>IF(ISNUMBER('Bets'!N104),'Bets'!N104,NA())</f>
        <v>#N/A</v>
      </c>
    </row>
    <row r="109" spans="1:2">
      <c r="A109" s="22" t="e">
        <f>IF(ISNUMBER('Bets'!N105),104,NA())</f>
        <v>#N/A</v>
      </c>
      <c r="B109" s="20" t="e">
        <f>IF(ISNUMBER('Bets'!N105),'Bets'!N105,NA())</f>
        <v>#N/A</v>
      </c>
    </row>
    <row r="110" spans="1:2">
      <c r="A110" s="22" t="e">
        <f>IF(ISNUMBER('Bets'!N106),105,NA())</f>
        <v>#N/A</v>
      </c>
      <c r="B110" s="20" t="e">
        <f>IF(ISNUMBER('Bets'!N106),'Bets'!N106,NA())</f>
        <v>#N/A</v>
      </c>
    </row>
    <row r="111" spans="1:2">
      <c r="A111" s="22" t="e">
        <f>IF(ISNUMBER('Bets'!N107),106,NA())</f>
        <v>#N/A</v>
      </c>
      <c r="B111" s="20" t="e">
        <f>IF(ISNUMBER('Bets'!N107),'Bets'!N107,NA())</f>
        <v>#N/A</v>
      </c>
    </row>
    <row r="112" spans="1:2">
      <c r="A112" s="22" t="e">
        <f>IF(ISNUMBER('Bets'!N108),107,NA())</f>
        <v>#N/A</v>
      </c>
      <c r="B112" s="20" t="e">
        <f>IF(ISNUMBER('Bets'!N108),'Bets'!N108,NA())</f>
        <v>#N/A</v>
      </c>
    </row>
    <row r="113" spans="1:2">
      <c r="A113" s="22" t="e">
        <f>IF(ISNUMBER('Bets'!N109),108,NA())</f>
        <v>#N/A</v>
      </c>
      <c r="B113" s="20" t="e">
        <f>IF(ISNUMBER('Bets'!N109),'Bets'!N109,NA())</f>
        <v>#N/A</v>
      </c>
    </row>
    <row r="114" spans="1:2">
      <c r="A114" s="22" t="e">
        <f>IF(ISNUMBER('Bets'!N110),109,NA())</f>
        <v>#N/A</v>
      </c>
      <c r="B114" s="20" t="e">
        <f>IF(ISNUMBER('Bets'!N110),'Bets'!N110,NA())</f>
        <v>#N/A</v>
      </c>
    </row>
    <row r="115" spans="1:2">
      <c r="A115" s="22" t="e">
        <f>IF(ISNUMBER('Bets'!N111),110,NA())</f>
        <v>#N/A</v>
      </c>
      <c r="B115" s="20" t="e">
        <f>IF(ISNUMBER('Bets'!N111),'Bets'!N111,NA())</f>
        <v>#N/A</v>
      </c>
    </row>
    <row r="116" spans="1:2">
      <c r="A116" s="22" t="e">
        <f>IF(ISNUMBER('Bets'!N112),111,NA())</f>
        <v>#N/A</v>
      </c>
      <c r="B116" s="20" t="e">
        <f>IF(ISNUMBER('Bets'!N112),'Bets'!N112,NA())</f>
        <v>#N/A</v>
      </c>
    </row>
    <row r="117" spans="1:2">
      <c r="A117" s="22" t="e">
        <f>IF(ISNUMBER('Bets'!N113),112,NA())</f>
        <v>#N/A</v>
      </c>
      <c r="B117" s="20" t="e">
        <f>IF(ISNUMBER('Bets'!N113),'Bets'!N113,NA())</f>
        <v>#N/A</v>
      </c>
    </row>
    <row r="118" spans="1:2">
      <c r="A118" s="22" t="e">
        <f>IF(ISNUMBER('Bets'!N114),113,NA())</f>
        <v>#N/A</v>
      </c>
      <c r="B118" s="20" t="e">
        <f>IF(ISNUMBER('Bets'!N114),'Bets'!N114,NA())</f>
        <v>#N/A</v>
      </c>
    </row>
    <row r="119" spans="1:2">
      <c r="A119" s="22" t="e">
        <f>IF(ISNUMBER('Bets'!N115),114,NA())</f>
        <v>#N/A</v>
      </c>
      <c r="B119" s="20" t="e">
        <f>IF(ISNUMBER('Bets'!N115),'Bets'!N115,NA())</f>
        <v>#N/A</v>
      </c>
    </row>
    <row r="120" spans="1:2">
      <c r="A120" s="22" t="e">
        <f>IF(ISNUMBER('Bets'!N116),115,NA())</f>
        <v>#N/A</v>
      </c>
      <c r="B120" s="20" t="e">
        <f>IF(ISNUMBER('Bets'!N116),'Bets'!N116,NA())</f>
        <v>#N/A</v>
      </c>
    </row>
    <row r="121" spans="1:2">
      <c r="A121" s="22" t="e">
        <f>IF(ISNUMBER('Bets'!N117),116,NA())</f>
        <v>#N/A</v>
      </c>
      <c r="B121" s="20" t="e">
        <f>IF(ISNUMBER('Bets'!N117),'Bets'!N117,NA())</f>
        <v>#N/A</v>
      </c>
    </row>
    <row r="122" spans="1:2">
      <c r="A122" s="22" t="e">
        <f>IF(ISNUMBER('Bets'!N118),117,NA())</f>
        <v>#N/A</v>
      </c>
      <c r="B122" s="20" t="e">
        <f>IF(ISNUMBER('Bets'!N118),'Bets'!N118,NA())</f>
        <v>#N/A</v>
      </c>
    </row>
    <row r="123" spans="1:2">
      <c r="A123" s="22" t="e">
        <f>IF(ISNUMBER('Bets'!N119),118,NA())</f>
        <v>#N/A</v>
      </c>
      <c r="B123" s="20" t="e">
        <f>IF(ISNUMBER('Bets'!N119),'Bets'!N119,NA())</f>
        <v>#N/A</v>
      </c>
    </row>
    <row r="124" spans="1:2">
      <c r="A124" s="22" t="e">
        <f>IF(ISNUMBER('Bets'!N120),119,NA())</f>
        <v>#N/A</v>
      </c>
      <c r="B124" s="20" t="e">
        <f>IF(ISNUMBER('Bets'!N120),'Bets'!N120,NA())</f>
        <v>#N/A</v>
      </c>
    </row>
    <row r="125" spans="1:2">
      <c r="A125" s="22" t="e">
        <f>IF(ISNUMBER('Bets'!N121),120,NA())</f>
        <v>#N/A</v>
      </c>
      <c r="B125" s="20" t="e">
        <f>IF(ISNUMBER('Bets'!N121),'Bets'!N121,NA())</f>
        <v>#N/A</v>
      </c>
    </row>
    <row r="126" spans="1:2">
      <c r="A126" s="22" t="e">
        <f>IF(ISNUMBER('Bets'!N122),121,NA())</f>
        <v>#N/A</v>
      </c>
      <c r="B126" s="20" t="e">
        <f>IF(ISNUMBER('Bets'!N122),'Bets'!N122,NA())</f>
        <v>#N/A</v>
      </c>
    </row>
    <row r="127" spans="1:2">
      <c r="A127" s="22" t="e">
        <f>IF(ISNUMBER('Bets'!N123),122,NA())</f>
        <v>#N/A</v>
      </c>
      <c r="B127" s="20" t="e">
        <f>IF(ISNUMBER('Bets'!N123),'Bets'!N123,NA())</f>
        <v>#N/A</v>
      </c>
    </row>
    <row r="128" spans="1:2">
      <c r="A128" s="22" t="e">
        <f>IF(ISNUMBER('Bets'!N124),123,NA())</f>
        <v>#N/A</v>
      </c>
      <c r="B128" s="20" t="e">
        <f>IF(ISNUMBER('Bets'!N124),'Bets'!N124,NA())</f>
        <v>#N/A</v>
      </c>
    </row>
    <row r="129" spans="1:2">
      <c r="A129" s="22" t="e">
        <f>IF(ISNUMBER('Bets'!N125),124,NA())</f>
        <v>#N/A</v>
      </c>
      <c r="B129" s="20" t="e">
        <f>IF(ISNUMBER('Bets'!N125),'Bets'!N125,NA())</f>
        <v>#N/A</v>
      </c>
    </row>
    <row r="130" spans="1:2">
      <c r="A130" s="22" t="e">
        <f>IF(ISNUMBER('Bets'!N126),125,NA())</f>
        <v>#N/A</v>
      </c>
      <c r="B130" s="20" t="e">
        <f>IF(ISNUMBER('Bets'!N126),'Bets'!N126,NA())</f>
        <v>#N/A</v>
      </c>
    </row>
    <row r="131" spans="1:2">
      <c r="A131" s="22" t="e">
        <f>IF(ISNUMBER('Bets'!N127),126,NA())</f>
        <v>#N/A</v>
      </c>
      <c r="B131" s="20" t="e">
        <f>IF(ISNUMBER('Bets'!N127),'Bets'!N127,NA())</f>
        <v>#N/A</v>
      </c>
    </row>
    <row r="132" spans="1:2">
      <c r="A132" s="22" t="e">
        <f>IF(ISNUMBER('Bets'!N128),127,NA())</f>
        <v>#N/A</v>
      </c>
      <c r="B132" s="20" t="e">
        <f>IF(ISNUMBER('Bets'!N128),'Bets'!N128,NA())</f>
        <v>#N/A</v>
      </c>
    </row>
    <row r="133" spans="1:2">
      <c r="A133" s="22" t="e">
        <f>IF(ISNUMBER('Bets'!N129),128,NA())</f>
        <v>#N/A</v>
      </c>
      <c r="B133" s="20" t="e">
        <f>IF(ISNUMBER('Bets'!N129),'Bets'!N129,NA())</f>
        <v>#N/A</v>
      </c>
    </row>
    <row r="134" spans="1:2">
      <c r="A134" s="22" t="e">
        <f>IF(ISNUMBER('Bets'!N130),129,NA())</f>
        <v>#N/A</v>
      </c>
      <c r="B134" s="20" t="e">
        <f>IF(ISNUMBER('Bets'!N130),'Bets'!N130,NA())</f>
        <v>#N/A</v>
      </c>
    </row>
    <row r="135" spans="1:2">
      <c r="A135" s="22" t="e">
        <f>IF(ISNUMBER('Bets'!N131),130,NA())</f>
        <v>#N/A</v>
      </c>
      <c r="B135" s="20" t="e">
        <f>IF(ISNUMBER('Bets'!N131),'Bets'!N131,NA())</f>
        <v>#N/A</v>
      </c>
    </row>
    <row r="136" spans="1:2">
      <c r="A136" s="22" t="e">
        <f>IF(ISNUMBER('Bets'!N132),131,NA())</f>
        <v>#N/A</v>
      </c>
      <c r="B136" s="20" t="e">
        <f>IF(ISNUMBER('Bets'!N132),'Bets'!N132,NA())</f>
        <v>#N/A</v>
      </c>
    </row>
    <row r="137" spans="1:2">
      <c r="A137" s="22" t="e">
        <f>IF(ISNUMBER('Bets'!N133),132,NA())</f>
        <v>#N/A</v>
      </c>
      <c r="B137" s="20" t="e">
        <f>IF(ISNUMBER('Bets'!N133),'Bets'!N133,NA())</f>
        <v>#N/A</v>
      </c>
    </row>
    <row r="138" spans="1:2">
      <c r="A138" s="22" t="e">
        <f>IF(ISNUMBER('Bets'!N134),133,NA())</f>
        <v>#N/A</v>
      </c>
      <c r="B138" s="20" t="e">
        <f>IF(ISNUMBER('Bets'!N134),'Bets'!N134,NA())</f>
        <v>#N/A</v>
      </c>
    </row>
    <row r="139" spans="1:2">
      <c r="A139" s="22" t="e">
        <f>IF(ISNUMBER('Bets'!N135),134,NA())</f>
        <v>#N/A</v>
      </c>
      <c r="B139" s="20" t="e">
        <f>IF(ISNUMBER('Bets'!N135),'Bets'!N135,NA())</f>
        <v>#N/A</v>
      </c>
    </row>
    <row r="140" spans="1:2">
      <c r="A140" s="22" t="e">
        <f>IF(ISNUMBER('Bets'!N136),135,NA())</f>
        <v>#N/A</v>
      </c>
      <c r="B140" s="20" t="e">
        <f>IF(ISNUMBER('Bets'!N136),'Bets'!N136,NA())</f>
        <v>#N/A</v>
      </c>
    </row>
    <row r="141" spans="1:2">
      <c r="A141" s="22" t="e">
        <f>IF(ISNUMBER('Bets'!N137),136,NA())</f>
        <v>#N/A</v>
      </c>
      <c r="B141" s="20" t="e">
        <f>IF(ISNUMBER('Bets'!N137),'Bets'!N137,NA())</f>
        <v>#N/A</v>
      </c>
    </row>
    <row r="142" spans="1:2">
      <c r="A142" s="22" t="e">
        <f>IF(ISNUMBER('Bets'!N138),137,NA())</f>
        <v>#N/A</v>
      </c>
      <c r="B142" s="20" t="e">
        <f>IF(ISNUMBER('Bets'!N138),'Bets'!N138,NA())</f>
        <v>#N/A</v>
      </c>
    </row>
    <row r="143" spans="1:2">
      <c r="A143" s="22" t="e">
        <f>IF(ISNUMBER('Bets'!N139),138,NA())</f>
        <v>#N/A</v>
      </c>
      <c r="B143" s="20" t="e">
        <f>IF(ISNUMBER('Bets'!N139),'Bets'!N139,NA())</f>
        <v>#N/A</v>
      </c>
    </row>
    <row r="144" spans="1:2">
      <c r="A144" s="22" t="e">
        <f>IF(ISNUMBER('Bets'!N140),139,NA())</f>
        <v>#N/A</v>
      </c>
      <c r="B144" s="20" t="e">
        <f>IF(ISNUMBER('Bets'!N140),'Bets'!N140,NA())</f>
        <v>#N/A</v>
      </c>
    </row>
    <row r="145" spans="1:2">
      <c r="A145" s="22" t="e">
        <f>IF(ISNUMBER('Bets'!N141),140,NA())</f>
        <v>#N/A</v>
      </c>
      <c r="B145" s="20" t="e">
        <f>IF(ISNUMBER('Bets'!N141),'Bets'!N141,NA())</f>
        <v>#N/A</v>
      </c>
    </row>
    <row r="146" spans="1:2">
      <c r="A146" s="22" t="e">
        <f>IF(ISNUMBER('Bets'!N142),141,NA())</f>
        <v>#N/A</v>
      </c>
      <c r="B146" s="20" t="e">
        <f>IF(ISNUMBER('Bets'!N142),'Bets'!N142,NA())</f>
        <v>#N/A</v>
      </c>
    </row>
    <row r="147" spans="1:2">
      <c r="A147" s="22" t="e">
        <f>IF(ISNUMBER('Bets'!N143),142,NA())</f>
        <v>#N/A</v>
      </c>
      <c r="B147" s="20" t="e">
        <f>IF(ISNUMBER('Bets'!N143),'Bets'!N143,NA())</f>
        <v>#N/A</v>
      </c>
    </row>
    <row r="148" spans="1:2">
      <c r="A148" s="22" t="e">
        <f>IF(ISNUMBER('Bets'!N144),143,NA())</f>
        <v>#N/A</v>
      </c>
      <c r="B148" s="20" t="e">
        <f>IF(ISNUMBER('Bets'!N144),'Bets'!N144,NA())</f>
        <v>#N/A</v>
      </c>
    </row>
    <row r="149" spans="1:2">
      <c r="A149" s="22" t="e">
        <f>IF(ISNUMBER('Bets'!N145),144,NA())</f>
        <v>#N/A</v>
      </c>
      <c r="B149" s="20" t="e">
        <f>IF(ISNUMBER('Bets'!N145),'Bets'!N145,NA())</f>
        <v>#N/A</v>
      </c>
    </row>
    <row r="150" spans="1:2">
      <c r="A150" s="22" t="e">
        <f>IF(ISNUMBER('Bets'!N146),145,NA())</f>
        <v>#N/A</v>
      </c>
      <c r="B150" s="20" t="e">
        <f>IF(ISNUMBER('Bets'!N146),'Bets'!N146,NA())</f>
        <v>#N/A</v>
      </c>
    </row>
    <row r="151" spans="1:2">
      <c r="A151" s="22" t="e">
        <f>IF(ISNUMBER('Bets'!N147),146,NA())</f>
        <v>#N/A</v>
      </c>
      <c r="B151" s="20" t="e">
        <f>IF(ISNUMBER('Bets'!N147),'Bets'!N147,NA())</f>
        <v>#N/A</v>
      </c>
    </row>
    <row r="152" spans="1:2">
      <c r="A152" s="22" t="e">
        <f>IF(ISNUMBER('Bets'!N148),147,NA())</f>
        <v>#N/A</v>
      </c>
      <c r="B152" s="20" t="e">
        <f>IF(ISNUMBER('Bets'!N148),'Bets'!N148,NA())</f>
        <v>#N/A</v>
      </c>
    </row>
    <row r="153" spans="1:2">
      <c r="A153" s="22" t="e">
        <f>IF(ISNUMBER('Bets'!N149),148,NA())</f>
        <v>#N/A</v>
      </c>
      <c r="B153" s="20" t="e">
        <f>IF(ISNUMBER('Bets'!N149),'Bets'!N149,NA())</f>
        <v>#N/A</v>
      </c>
    </row>
    <row r="154" spans="1:2">
      <c r="A154" s="22" t="e">
        <f>IF(ISNUMBER('Bets'!N150),149,NA())</f>
        <v>#N/A</v>
      </c>
      <c r="B154" s="20" t="e">
        <f>IF(ISNUMBER('Bets'!N150),'Bets'!N150,NA())</f>
        <v>#N/A</v>
      </c>
    </row>
    <row r="155" spans="1:2">
      <c r="A155" s="22" t="e">
        <f>IF(ISNUMBER('Bets'!N151),150,NA())</f>
        <v>#N/A</v>
      </c>
      <c r="B155" s="20" t="e">
        <f>IF(ISNUMBER('Bets'!N151),'Bets'!N151,NA())</f>
        <v>#N/A</v>
      </c>
    </row>
    <row r="156" spans="1:2">
      <c r="A156" s="22" t="e">
        <f>IF(ISNUMBER('Bets'!N152),151,NA())</f>
        <v>#N/A</v>
      </c>
      <c r="B156" s="20" t="e">
        <f>IF(ISNUMBER('Bets'!N152),'Bets'!N152,NA())</f>
        <v>#N/A</v>
      </c>
    </row>
    <row r="157" spans="1:2">
      <c r="A157" s="22" t="e">
        <f>IF(ISNUMBER('Bets'!N153),152,NA())</f>
        <v>#N/A</v>
      </c>
      <c r="B157" s="20" t="e">
        <f>IF(ISNUMBER('Bets'!N153),'Bets'!N153,NA())</f>
        <v>#N/A</v>
      </c>
    </row>
    <row r="158" spans="1:2">
      <c r="A158" s="22" t="e">
        <f>IF(ISNUMBER('Bets'!N154),153,NA())</f>
        <v>#N/A</v>
      </c>
      <c r="B158" s="20" t="e">
        <f>IF(ISNUMBER('Bets'!N154),'Bets'!N154,NA())</f>
        <v>#N/A</v>
      </c>
    </row>
    <row r="159" spans="1:2">
      <c r="A159" s="22" t="e">
        <f>IF(ISNUMBER('Bets'!N155),154,NA())</f>
        <v>#N/A</v>
      </c>
      <c r="B159" s="20" t="e">
        <f>IF(ISNUMBER('Bets'!N155),'Bets'!N155,NA())</f>
        <v>#N/A</v>
      </c>
    </row>
    <row r="160" spans="1:2">
      <c r="A160" s="22" t="e">
        <f>IF(ISNUMBER('Bets'!N156),155,NA())</f>
        <v>#N/A</v>
      </c>
      <c r="B160" s="20" t="e">
        <f>IF(ISNUMBER('Bets'!N156),'Bets'!N156,NA())</f>
        <v>#N/A</v>
      </c>
    </row>
    <row r="161" spans="1:2">
      <c r="A161" s="22" t="e">
        <f>IF(ISNUMBER('Bets'!N157),156,NA())</f>
        <v>#N/A</v>
      </c>
      <c r="B161" s="20" t="e">
        <f>IF(ISNUMBER('Bets'!N157),'Bets'!N157,NA())</f>
        <v>#N/A</v>
      </c>
    </row>
    <row r="162" spans="1:2">
      <c r="A162" s="22" t="e">
        <f>IF(ISNUMBER('Bets'!N158),157,NA())</f>
        <v>#N/A</v>
      </c>
      <c r="B162" s="20" t="e">
        <f>IF(ISNUMBER('Bets'!N158),'Bets'!N158,NA())</f>
        <v>#N/A</v>
      </c>
    </row>
    <row r="163" spans="1:2">
      <c r="A163" s="22" t="e">
        <f>IF(ISNUMBER('Bets'!N159),158,NA())</f>
        <v>#N/A</v>
      </c>
      <c r="B163" s="20" t="e">
        <f>IF(ISNUMBER('Bets'!N159),'Bets'!N159,NA())</f>
        <v>#N/A</v>
      </c>
    </row>
    <row r="164" spans="1:2">
      <c r="A164" s="22" t="e">
        <f>IF(ISNUMBER('Bets'!N160),159,NA())</f>
        <v>#N/A</v>
      </c>
      <c r="B164" s="20" t="e">
        <f>IF(ISNUMBER('Bets'!N160),'Bets'!N160,NA())</f>
        <v>#N/A</v>
      </c>
    </row>
    <row r="165" spans="1:2">
      <c r="A165" s="22" t="e">
        <f>IF(ISNUMBER('Bets'!N161),160,NA())</f>
        <v>#N/A</v>
      </c>
      <c r="B165" s="20" t="e">
        <f>IF(ISNUMBER('Bets'!N161),'Bets'!N161,NA())</f>
        <v>#N/A</v>
      </c>
    </row>
    <row r="166" spans="1:2">
      <c r="A166" s="22" t="e">
        <f>IF(ISNUMBER('Bets'!N162),161,NA())</f>
        <v>#N/A</v>
      </c>
      <c r="B166" s="20" t="e">
        <f>IF(ISNUMBER('Bets'!N162),'Bets'!N162,NA())</f>
        <v>#N/A</v>
      </c>
    </row>
    <row r="167" spans="1:2">
      <c r="A167" s="22" t="e">
        <f>IF(ISNUMBER('Bets'!N163),162,NA())</f>
        <v>#N/A</v>
      </c>
      <c r="B167" s="20" t="e">
        <f>IF(ISNUMBER('Bets'!N163),'Bets'!N163,NA())</f>
        <v>#N/A</v>
      </c>
    </row>
    <row r="168" spans="1:2">
      <c r="A168" s="22" t="e">
        <f>IF(ISNUMBER('Bets'!N164),163,NA())</f>
        <v>#N/A</v>
      </c>
      <c r="B168" s="20" t="e">
        <f>IF(ISNUMBER('Bets'!N164),'Bets'!N164,NA())</f>
        <v>#N/A</v>
      </c>
    </row>
    <row r="169" spans="1:2">
      <c r="A169" s="22" t="e">
        <f>IF(ISNUMBER('Bets'!N165),164,NA())</f>
        <v>#N/A</v>
      </c>
      <c r="B169" s="20" t="e">
        <f>IF(ISNUMBER('Bets'!N165),'Bets'!N165,NA())</f>
        <v>#N/A</v>
      </c>
    </row>
    <row r="170" spans="1:2">
      <c r="A170" s="22" t="e">
        <f>IF(ISNUMBER('Bets'!N166),165,NA())</f>
        <v>#N/A</v>
      </c>
      <c r="B170" s="20" t="e">
        <f>IF(ISNUMBER('Bets'!N166),'Bets'!N166,NA())</f>
        <v>#N/A</v>
      </c>
    </row>
    <row r="171" spans="1:2">
      <c r="A171" s="22" t="e">
        <f>IF(ISNUMBER('Bets'!N167),166,NA())</f>
        <v>#N/A</v>
      </c>
      <c r="B171" s="20" t="e">
        <f>IF(ISNUMBER('Bets'!N167),'Bets'!N167,NA())</f>
        <v>#N/A</v>
      </c>
    </row>
    <row r="172" spans="1:2">
      <c r="A172" s="22" t="e">
        <f>IF(ISNUMBER('Bets'!N168),167,NA())</f>
        <v>#N/A</v>
      </c>
      <c r="B172" s="20" t="e">
        <f>IF(ISNUMBER('Bets'!N168),'Bets'!N168,NA())</f>
        <v>#N/A</v>
      </c>
    </row>
    <row r="173" spans="1:2">
      <c r="A173" s="22" t="e">
        <f>IF(ISNUMBER('Bets'!N169),168,NA())</f>
        <v>#N/A</v>
      </c>
      <c r="B173" s="20" t="e">
        <f>IF(ISNUMBER('Bets'!N169),'Bets'!N169,NA())</f>
        <v>#N/A</v>
      </c>
    </row>
    <row r="174" spans="1:2">
      <c r="A174" s="22" t="e">
        <f>IF(ISNUMBER('Bets'!N170),169,NA())</f>
        <v>#N/A</v>
      </c>
      <c r="B174" s="20" t="e">
        <f>IF(ISNUMBER('Bets'!N170),'Bets'!N170,NA())</f>
        <v>#N/A</v>
      </c>
    </row>
    <row r="175" spans="1:2">
      <c r="A175" s="22" t="e">
        <f>IF(ISNUMBER('Bets'!N171),170,NA())</f>
        <v>#N/A</v>
      </c>
      <c r="B175" s="20" t="e">
        <f>IF(ISNUMBER('Bets'!N171),'Bets'!N171,NA())</f>
        <v>#N/A</v>
      </c>
    </row>
    <row r="176" spans="1:2">
      <c r="A176" s="22" t="e">
        <f>IF(ISNUMBER('Bets'!N172),171,NA())</f>
        <v>#N/A</v>
      </c>
      <c r="B176" s="20" t="e">
        <f>IF(ISNUMBER('Bets'!N172),'Bets'!N172,NA())</f>
        <v>#N/A</v>
      </c>
    </row>
    <row r="177" spans="1:2">
      <c r="A177" s="22" t="e">
        <f>IF(ISNUMBER('Bets'!N173),172,NA())</f>
        <v>#N/A</v>
      </c>
      <c r="B177" s="20" t="e">
        <f>IF(ISNUMBER('Bets'!N173),'Bets'!N173,NA())</f>
        <v>#N/A</v>
      </c>
    </row>
    <row r="178" spans="1:2">
      <c r="A178" s="22" t="e">
        <f>IF(ISNUMBER('Bets'!N174),173,NA())</f>
        <v>#N/A</v>
      </c>
      <c r="B178" s="20" t="e">
        <f>IF(ISNUMBER('Bets'!N174),'Bets'!N174,NA())</f>
        <v>#N/A</v>
      </c>
    </row>
    <row r="179" spans="1:2">
      <c r="A179" s="22" t="e">
        <f>IF(ISNUMBER('Bets'!N175),174,NA())</f>
        <v>#N/A</v>
      </c>
      <c r="B179" s="20" t="e">
        <f>IF(ISNUMBER('Bets'!N175),'Bets'!N175,NA())</f>
        <v>#N/A</v>
      </c>
    </row>
    <row r="180" spans="1:2">
      <c r="A180" s="22" t="e">
        <f>IF(ISNUMBER('Bets'!N176),175,NA())</f>
        <v>#N/A</v>
      </c>
      <c r="B180" s="20" t="e">
        <f>IF(ISNUMBER('Bets'!N176),'Bets'!N176,NA())</f>
        <v>#N/A</v>
      </c>
    </row>
    <row r="181" spans="1:2">
      <c r="A181" s="22" t="e">
        <f>IF(ISNUMBER('Bets'!N177),176,NA())</f>
        <v>#N/A</v>
      </c>
      <c r="B181" s="20" t="e">
        <f>IF(ISNUMBER('Bets'!N177),'Bets'!N177,NA())</f>
        <v>#N/A</v>
      </c>
    </row>
    <row r="182" spans="1:2">
      <c r="A182" s="22" t="e">
        <f>IF(ISNUMBER('Bets'!N178),177,NA())</f>
        <v>#N/A</v>
      </c>
      <c r="B182" s="20" t="e">
        <f>IF(ISNUMBER('Bets'!N178),'Bets'!N178,NA())</f>
        <v>#N/A</v>
      </c>
    </row>
    <row r="183" spans="1:2">
      <c r="A183" s="22" t="e">
        <f>IF(ISNUMBER('Bets'!N179),178,NA())</f>
        <v>#N/A</v>
      </c>
      <c r="B183" s="20" t="e">
        <f>IF(ISNUMBER('Bets'!N179),'Bets'!N179,NA())</f>
        <v>#N/A</v>
      </c>
    </row>
    <row r="184" spans="1:2">
      <c r="A184" s="22" t="e">
        <f>IF(ISNUMBER('Bets'!N180),179,NA())</f>
        <v>#N/A</v>
      </c>
      <c r="B184" s="20" t="e">
        <f>IF(ISNUMBER('Bets'!N180),'Bets'!N180,NA())</f>
        <v>#N/A</v>
      </c>
    </row>
    <row r="185" spans="1:2">
      <c r="A185" s="22" t="e">
        <f>IF(ISNUMBER('Bets'!N181),180,NA())</f>
        <v>#N/A</v>
      </c>
      <c r="B185" s="20" t="e">
        <f>IF(ISNUMBER('Bets'!N181),'Bets'!N181,NA())</f>
        <v>#N/A</v>
      </c>
    </row>
    <row r="186" spans="1:2">
      <c r="A186" s="22" t="e">
        <f>IF(ISNUMBER('Bets'!N182),181,NA())</f>
        <v>#N/A</v>
      </c>
      <c r="B186" s="20" t="e">
        <f>IF(ISNUMBER('Bets'!N182),'Bets'!N182,NA())</f>
        <v>#N/A</v>
      </c>
    </row>
    <row r="187" spans="1:2">
      <c r="A187" s="22" t="e">
        <f>IF(ISNUMBER('Bets'!N183),182,NA())</f>
        <v>#N/A</v>
      </c>
      <c r="B187" s="20" t="e">
        <f>IF(ISNUMBER('Bets'!N183),'Bets'!N183,NA())</f>
        <v>#N/A</v>
      </c>
    </row>
    <row r="188" spans="1:2">
      <c r="A188" s="22" t="e">
        <f>IF(ISNUMBER('Bets'!N184),183,NA())</f>
        <v>#N/A</v>
      </c>
      <c r="B188" s="20" t="e">
        <f>IF(ISNUMBER('Bets'!N184),'Bets'!N184,NA())</f>
        <v>#N/A</v>
      </c>
    </row>
    <row r="189" spans="1:2">
      <c r="A189" s="22" t="e">
        <f>IF(ISNUMBER('Bets'!N185),184,NA())</f>
        <v>#N/A</v>
      </c>
      <c r="B189" s="20" t="e">
        <f>IF(ISNUMBER('Bets'!N185),'Bets'!N185,NA())</f>
        <v>#N/A</v>
      </c>
    </row>
    <row r="190" spans="1:2">
      <c r="A190" s="22" t="e">
        <f>IF(ISNUMBER('Bets'!N186),185,NA())</f>
        <v>#N/A</v>
      </c>
      <c r="B190" s="20" t="e">
        <f>IF(ISNUMBER('Bets'!N186),'Bets'!N186,NA())</f>
        <v>#N/A</v>
      </c>
    </row>
    <row r="191" spans="1:2">
      <c r="A191" s="22" t="e">
        <f>IF(ISNUMBER('Bets'!N187),186,NA())</f>
        <v>#N/A</v>
      </c>
      <c r="B191" s="20" t="e">
        <f>IF(ISNUMBER('Bets'!N187),'Bets'!N187,NA())</f>
        <v>#N/A</v>
      </c>
    </row>
    <row r="192" spans="1:2">
      <c r="A192" s="22" t="e">
        <f>IF(ISNUMBER('Bets'!N188),187,NA())</f>
        <v>#N/A</v>
      </c>
      <c r="B192" s="20" t="e">
        <f>IF(ISNUMBER('Bets'!N188),'Bets'!N188,NA())</f>
        <v>#N/A</v>
      </c>
    </row>
    <row r="193" spans="1:2">
      <c r="A193" s="22" t="e">
        <f>IF(ISNUMBER('Bets'!N189),188,NA())</f>
        <v>#N/A</v>
      </c>
      <c r="B193" s="20" t="e">
        <f>IF(ISNUMBER('Bets'!N189),'Bets'!N189,NA())</f>
        <v>#N/A</v>
      </c>
    </row>
    <row r="194" spans="1:2">
      <c r="A194" s="22" t="e">
        <f>IF(ISNUMBER('Bets'!N190),189,NA())</f>
        <v>#N/A</v>
      </c>
      <c r="B194" s="20" t="e">
        <f>IF(ISNUMBER('Bets'!N190),'Bets'!N190,NA())</f>
        <v>#N/A</v>
      </c>
    </row>
    <row r="195" spans="1:2">
      <c r="A195" s="22" t="e">
        <f>IF(ISNUMBER('Bets'!N191),190,NA())</f>
        <v>#N/A</v>
      </c>
      <c r="B195" s="20" t="e">
        <f>IF(ISNUMBER('Bets'!N191),'Bets'!N191,NA())</f>
        <v>#N/A</v>
      </c>
    </row>
    <row r="196" spans="1:2">
      <c r="A196" s="22" t="e">
        <f>IF(ISNUMBER('Bets'!N192),191,NA())</f>
        <v>#N/A</v>
      </c>
      <c r="B196" s="20" t="e">
        <f>IF(ISNUMBER('Bets'!N192),'Bets'!N192,NA())</f>
        <v>#N/A</v>
      </c>
    </row>
    <row r="197" spans="1:2">
      <c r="A197" s="22" t="e">
        <f>IF(ISNUMBER('Bets'!N193),192,NA())</f>
        <v>#N/A</v>
      </c>
      <c r="B197" s="20" t="e">
        <f>IF(ISNUMBER('Bets'!N193),'Bets'!N193,NA())</f>
        <v>#N/A</v>
      </c>
    </row>
    <row r="198" spans="1:2">
      <c r="A198" s="22" t="e">
        <f>IF(ISNUMBER('Bets'!N194),193,NA())</f>
        <v>#N/A</v>
      </c>
      <c r="B198" s="20" t="e">
        <f>IF(ISNUMBER('Bets'!N194),'Bets'!N194,NA())</f>
        <v>#N/A</v>
      </c>
    </row>
    <row r="199" spans="1:2">
      <c r="A199" s="22" t="e">
        <f>IF(ISNUMBER('Bets'!N195),194,NA())</f>
        <v>#N/A</v>
      </c>
      <c r="B199" s="20" t="e">
        <f>IF(ISNUMBER('Bets'!N195),'Bets'!N195,NA())</f>
        <v>#N/A</v>
      </c>
    </row>
    <row r="200" spans="1:2">
      <c r="A200" s="22" t="e">
        <f>IF(ISNUMBER('Bets'!N196),195,NA())</f>
        <v>#N/A</v>
      </c>
      <c r="B200" s="20" t="e">
        <f>IF(ISNUMBER('Bets'!N196),'Bets'!N196,NA())</f>
        <v>#N/A</v>
      </c>
    </row>
    <row r="201" spans="1:2">
      <c r="A201" s="22" t="e">
        <f>IF(ISNUMBER('Bets'!N197),196,NA())</f>
        <v>#N/A</v>
      </c>
      <c r="B201" s="20" t="e">
        <f>IF(ISNUMBER('Bets'!N197),'Bets'!N197,NA())</f>
        <v>#N/A</v>
      </c>
    </row>
    <row r="202" spans="1:2">
      <c r="A202" s="22" t="e">
        <f>IF(ISNUMBER('Bets'!N198),197,NA())</f>
        <v>#N/A</v>
      </c>
      <c r="B202" s="20" t="e">
        <f>IF(ISNUMBER('Bets'!N198),'Bets'!N198,NA())</f>
        <v>#N/A</v>
      </c>
    </row>
    <row r="203" spans="1:2">
      <c r="A203" s="22" t="e">
        <f>IF(ISNUMBER('Bets'!N199),198,NA())</f>
        <v>#N/A</v>
      </c>
      <c r="B203" s="20" t="e">
        <f>IF(ISNUMBER('Bets'!N199),'Bets'!N199,NA())</f>
        <v>#N/A</v>
      </c>
    </row>
    <row r="204" spans="1:2">
      <c r="A204" s="22" t="e">
        <f>IF(ISNUMBER('Bets'!N200),199,NA())</f>
        <v>#N/A</v>
      </c>
      <c r="B204" s="20" t="e">
        <f>IF(ISNUMBER('Bets'!N200),'Bets'!N200,NA())</f>
        <v>#N/A</v>
      </c>
    </row>
    <row r="205" spans="1:2">
      <c r="A205" s="22" t="e">
        <f>IF(ISNUMBER('Bets'!N201),200,NA())</f>
        <v>#N/A</v>
      </c>
      <c r="B205" s="20" t="e">
        <f>IF(ISNUMBER('Bets'!N201),'Bets'!N201,NA())</f>
        <v>#N/A</v>
      </c>
    </row>
    <row r="206" spans="1:2">
      <c r="A206" s="22" t="e">
        <f>IF(ISNUMBER('Bets'!N202),201,NA())</f>
        <v>#N/A</v>
      </c>
      <c r="B206" s="20" t="e">
        <f>IF(ISNUMBER('Bets'!N202),'Bets'!N202,NA())</f>
        <v>#N/A</v>
      </c>
    </row>
    <row r="207" spans="1:2">
      <c r="A207" s="22" t="e">
        <f>IF(ISNUMBER('Bets'!N203),202,NA())</f>
        <v>#N/A</v>
      </c>
      <c r="B207" s="20" t="e">
        <f>IF(ISNUMBER('Bets'!N203),'Bets'!N203,NA())</f>
        <v>#N/A</v>
      </c>
    </row>
    <row r="208" spans="1:2">
      <c r="A208" s="22" t="e">
        <f>IF(ISNUMBER('Bets'!N204),203,NA())</f>
        <v>#N/A</v>
      </c>
      <c r="B208" s="20" t="e">
        <f>IF(ISNUMBER('Bets'!N204),'Bets'!N204,NA())</f>
        <v>#N/A</v>
      </c>
    </row>
    <row r="209" spans="1:2">
      <c r="A209" s="22" t="e">
        <f>IF(ISNUMBER('Bets'!N205),204,NA())</f>
        <v>#N/A</v>
      </c>
      <c r="B209" s="20" t="e">
        <f>IF(ISNUMBER('Bets'!N205),'Bets'!N205,NA())</f>
        <v>#N/A</v>
      </c>
    </row>
    <row r="210" spans="1:2">
      <c r="A210" s="22" t="e">
        <f>IF(ISNUMBER('Bets'!N206),205,NA())</f>
        <v>#N/A</v>
      </c>
      <c r="B210" s="20" t="e">
        <f>IF(ISNUMBER('Bets'!N206),'Bets'!N206,NA())</f>
        <v>#N/A</v>
      </c>
    </row>
    <row r="211" spans="1:2">
      <c r="A211" s="22" t="e">
        <f>IF(ISNUMBER('Bets'!N207),206,NA())</f>
        <v>#N/A</v>
      </c>
      <c r="B211" s="20" t="e">
        <f>IF(ISNUMBER('Bets'!N207),'Bets'!N207,NA())</f>
        <v>#N/A</v>
      </c>
    </row>
    <row r="212" spans="1:2">
      <c r="A212" s="22" t="e">
        <f>IF(ISNUMBER('Bets'!N208),207,NA())</f>
        <v>#N/A</v>
      </c>
      <c r="B212" s="20" t="e">
        <f>IF(ISNUMBER('Bets'!N208),'Bets'!N208,NA())</f>
        <v>#N/A</v>
      </c>
    </row>
    <row r="213" spans="1:2">
      <c r="A213" s="22" t="e">
        <f>IF(ISNUMBER('Bets'!N209),208,NA())</f>
        <v>#N/A</v>
      </c>
      <c r="B213" s="20" t="e">
        <f>IF(ISNUMBER('Bets'!N209),'Bets'!N209,NA())</f>
        <v>#N/A</v>
      </c>
    </row>
    <row r="214" spans="1:2">
      <c r="A214" s="22" t="e">
        <f>IF(ISNUMBER('Bets'!N210),209,NA())</f>
        <v>#N/A</v>
      </c>
      <c r="B214" s="20" t="e">
        <f>IF(ISNUMBER('Bets'!N210),'Bets'!N210,NA())</f>
        <v>#N/A</v>
      </c>
    </row>
    <row r="215" spans="1:2">
      <c r="A215" s="22" t="e">
        <f>IF(ISNUMBER('Bets'!N211),210,NA())</f>
        <v>#N/A</v>
      </c>
      <c r="B215" s="20" t="e">
        <f>IF(ISNUMBER('Bets'!N211),'Bets'!N211,NA())</f>
        <v>#N/A</v>
      </c>
    </row>
    <row r="216" spans="1:2">
      <c r="A216" s="22" t="e">
        <f>IF(ISNUMBER('Bets'!N212),211,NA())</f>
        <v>#N/A</v>
      </c>
      <c r="B216" s="20" t="e">
        <f>IF(ISNUMBER('Bets'!N212),'Bets'!N212,NA())</f>
        <v>#N/A</v>
      </c>
    </row>
    <row r="217" spans="1:2">
      <c r="A217" s="22" t="e">
        <f>IF(ISNUMBER('Bets'!N213),212,NA())</f>
        <v>#N/A</v>
      </c>
      <c r="B217" s="20" t="e">
        <f>IF(ISNUMBER('Bets'!N213),'Bets'!N213,NA())</f>
        <v>#N/A</v>
      </c>
    </row>
    <row r="218" spans="1:2">
      <c r="A218" s="22" t="e">
        <f>IF(ISNUMBER('Bets'!N214),213,NA())</f>
        <v>#N/A</v>
      </c>
      <c r="B218" s="20" t="e">
        <f>IF(ISNUMBER('Bets'!N214),'Bets'!N214,NA())</f>
        <v>#N/A</v>
      </c>
    </row>
    <row r="219" spans="1:2">
      <c r="A219" s="22" t="e">
        <f>IF(ISNUMBER('Bets'!N215),214,NA())</f>
        <v>#N/A</v>
      </c>
      <c r="B219" s="20" t="e">
        <f>IF(ISNUMBER('Bets'!N215),'Bets'!N215,NA())</f>
        <v>#N/A</v>
      </c>
    </row>
    <row r="220" spans="1:2">
      <c r="A220" s="22" t="e">
        <f>IF(ISNUMBER('Bets'!N216),215,NA())</f>
        <v>#N/A</v>
      </c>
      <c r="B220" s="20" t="e">
        <f>IF(ISNUMBER('Bets'!N216),'Bets'!N216,NA())</f>
        <v>#N/A</v>
      </c>
    </row>
    <row r="221" spans="1:2">
      <c r="A221" s="22" t="e">
        <f>IF(ISNUMBER('Bets'!N217),216,NA())</f>
        <v>#N/A</v>
      </c>
      <c r="B221" s="20" t="e">
        <f>IF(ISNUMBER('Bets'!N217),'Bets'!N217,NA())</f>
        <v>#N/A</v>
      </c>
    </row>
    <row r="222" spans="1:2">
      <c r="A222" s="22" t="e">
        <f>IF(ISNUMBER('Bets'!N218),217,NA())</f>
        <v>#N/A</v>
      </c>
      <c r="B222" s="20" t="e">
        <f>IF(ISNUMBER('Bets'!N218),'Bets'!N218,NA())</f>
        <v>#N/A</v>
      </c>
    </row>
    <row r="223" spans="1:2">
      <c r="A223" s="22" t="e">
        <f>IF(ISNUMBER('Bets'!N219),218,NA())</f>
        <v>#N/A</v>
      </c>
      <c r="B223" s="20" t="e">
        <f>IF(ISNUMBER('Bets'!N219),'Bets'!N219,NA())</f>
        <v>#N/A</v>
      </c>
    </row>
    <row r="224" spans="1:2">
      <c r="A224" s="22" t="e">
        <f>IF(ISNUMBER('Bets'!N220),219,NA())</f>
        <v>#N/A</v>
      </c>
      <c r="B224" s="20" t="e">
        <f>IF(ISNUMBER('Bets'!N220),'Bets'!N220,NA())</f>
        <v>#N/A</v>
      </c>
    </row>
    <row r="225" spans="1:2">
      <c r="A225" s="22" t="e">
        <f>IF(ISNUMBER('Bets'!N221),220,NA())</f>
        <v>#N/A</v>
      </c>
      <c r="B225" s="20" t="e">
        <f>IF(ISNUMBER('Bets'!N221),'Bets'!N221,NA())</f>
        <v>#N/A</v>
      </c>
    </row>
    <row r="226" spans="1:2">
      <c r="A226" s="22" t="e">
        <f>IF(ISNUMBER('Bets'!N222),221,NA())</f>
        <v>#N/A</v>
      </c>
      <c r="B226" s="20" t="e">
        <f>IF(ISNUMBER('Bets'!N222),'Bets'!N222,NA())</f>
        <v>#N/A</v>
      </c>
    </row>
    <row r="227" spans="1:2">
      <c r="A227" s="22" t="e">
        <f>IF(ISNUMBER('Bets'!N223),222,NA())</f>
        <v>#N/A</v>
      </c>
      <c r="B227" s="20" t="e">
        <f>IF(ISNUMBER('Bets'!N223),'Bets'!N223,NA())</f>
        <v>#N/A</v>
      </c>
    </row>
    <row r="228" spans="1:2">
      <c r="A228" s="22" t="e">
        <f>IF(ISNUMBER('Bets'!N224),223,NA())</f>
        <v>#N/A</v>
      </c>
      <c r="B228" s="20" t="e">
        <f>IF(ISNUMBER('Bets'!N224),'Bets'!N224,NA())</f>
        <v>#N/A</v>
      </c>
    </row>
    <row r="229" spans="1:2">
      <c r="A229" s="22" t="e">
        <f>IF(ISNUMBER('Bets'!N225),224,NA())</f>
        <v>#N/A</v>
      </c>
      <c r="B229" s="20" t="e">
        <f>IF(ISNUMBER('Bets'!N225),'Bets'!N225,NA())</f>
        <v>#N/A</v>
      </c>
    </row>
    <row r="230" spans="1:2">
      <c r="A230" s="22" t="e">
        <f>IF(ISNUMBER('Bets'!N226),225,NA())</f>
        <v>#N/A</v>
      </c>
      <c r="B230" s="20" t="e">
        <f>IF(ISNUMBER('Bets'!N226),'Bets'!N226,NA())</f>
        <v>#N/A</v>
      </c>
    </row>
    <row r="231" spans="1:2">
      <c r="A231" s="22" t="e">
        <f>IF(ISNUMBER('Bets'!N227),226,NA())</f>
        <v>#N/A</v>
      </c>
      <c r="B231" s="20" t="e">
        <f>IF(ISNUMBER('Bets'!N227),'Bets'!N227,NA())</f>
        <v>#N/A</v>
      </c>
    </row>
    <row r="232" spans="1:2">
      <c r="A232" s="22" t="e">
        <f>IF(ISNUMBER('Bets'!N228),227,NA())</f>
        <v>#N/A</v>
      </c>
      <c r="B232" s="20" t="e">
        <f>IF(ISNUMBER('Bets'!N228),'Bets'!N228,NA())</f>
        <v>#N/A</v>
      </c>
    </row>
    <row r="233" spans="1:2">
      <c r="A233" s="22" t="e">
        <f>IF(ISNUMBER('Bets'!N229),228,NA())</f>
        <v>#N/A</v>
      </c>
      <c r="B233" s="20" t="e">
        <f>IF(ISNUMBER('Bets'!N229),'Bets'!N229,NA())</f>
        <v>#N/A</v>
      </c>
    </row>
    <row r="234" spans="1:2">
      <c r="A234" s="22" t="e">
        <f>IF(ISNUMBER('Bets'!N230),229,NA())</f>
        <v>#N/A</v>
      </c>
      <c r="B234" s="20" t="e">
        <f>IF(ISNUMBER('Bets'!N230),'Bets'!N230,NA())</f>
        <v>#N/A</v>
      </c>
    </row>
    <row r="235" spans="1:2">
      <c r="A235" s="22" t="e">
        <f>IF(ISNUMBER('Bets'!N231),230,NA())</f>
        <v>#N/A</v>
      </c>
      <c r="B235" s="20" t="e">
        <f>IF(ISNUMBER('Bets'!N231),'Bets'!N231,NA())</f>
        <v>#N/A</v>
      </c>
    </row>
    <row r="236" spans="1:2">
      <c r="A236" s="22" t="e">
        <f>IF(ISNUMBER('Bets'!N232),231,NA())</f>
        <v>#N/A</v>
      </c>
      <c r="B236" s="20" t="e">
        <f>IF(ISNUMBER('Bets'!N232),'Bets'!N232,NA())</f>
        <v>#N/A</v>
      </c>
    </row>
    <row r="237" spans="1:2">
      <c r="A237" s="22" t="e">
        <f>IF(ISNUMBER('Bets'!N233),232,NA())</f>
        <v>#N/A</v>
      </c>
      <c r="B237" s="20" t="e">
        <f>IF(ISNUMBER('Bets'!N233),'Bets'!N233,NA())</f>
        <v>#N/A</v>
      </c>
    </row>
    <row r="238" spans="1:2">
      <c r="A238" s="22" t="e">
        <f>IF(ISNUMBER('Bets'!N234),233,NA())</f>
        <v>#N/A</v>
      </c>
      <c r="B238" s="20" t="e">
        <f>IF(ISNUMBER('Bets'!N234),'Bets'!N234,NA())</f>
        <v>#N/A</v>
      </c>
    </row>
    <row r="239" spans="1:2">
      <c r="A239" s="22" t="e">
        <f>IF(ISNUMBER('Bets'!N235),234,NA())</f>
        <v>#N/A</v>
      </c>
      <c r="B239" s="20" t="e">
        <f>IF(ISNUMBER('Bets'!N235),'Bets'!N235,NA())</f>
        <v>#N/A</v>
      </c>
    </row>
    <row r="240" spans="1:2">
      <c r="A240" s="22" t="e">
        <f>IF(ISNUMBER('Bets'!N236),235,NA())</f>
        <v>#N/A</v>
      </c>
      <c r="B240" s="20" t="e">
        <f>IF(ISNUMBER('Bets'!N236),'Bets'!N236,NA())</f>
        <v>#N/A</v>
      </c>
    </row>
    <row r="241" spans="1:2">
      <c r="A241" s="22" t="e">
        <f>IF(ISNUMBER('Bets'!N237),236,NA())</f>
        <v>#N/A</v>
      </c>
      <c r="B241" s="20" t="e">
        <f>IF(ISNUMBER('Bets'!N237),'Bets'!N237,NA())</f>
        <v>#N/A</v>
      </c>
    </row>
    <row r="242" spans="1:2">
      <c r="A242" s="22" t="e">
        <f>IF(ISNUMBER('Bets'!N238),237,NA())</f>
        <v>#N/A</v>
      </c>
      <c r="B242" s="20" t="e">
        <f>IF(ISNUMBER('Bets'!N238),'Bets'!N238,NA())</f>
        <v>#N/A</v>
      </c>
    </row>
    <row r="243" spans="1:2">
      <c r="A243" s="22" t="e">
        <f>IF(ISNUMBER('Bets'!N239),238,NA())</f>
        <v>#N/A</v>
      </c>
      <c r="B243" s="20" t="e">
        <f>IF(ISNUMBER('Bets'!N239),'Bets'!N239,NA())</f>
        <v>#N/A</v>
      </c>
    </row>
    <row r="244" spans="1:2">
      <c r="A244" s="22" t="e">
        <f>IF(ISNUMBER('Bets'!N240),239,NA())</f>
        <v>#N/A</v>
      </c>
      <c r="B244" s="20" t="e">
        <f>IF(ISNUMBER('Bets'!N240),'Bets'!N240,NA())</f>
        <v>#N/A</v>
      </c>
    </row>
    <row r="245" spans="1:2">
      <c r="A245" s="22" t="e">
        <f>IF(ISNUMBER('Bets'!N241),240,NA())</f>
        <v>#N/A</v>
      </c>
      <c r="B245" s="20" t="e">
        <f>IF(ISNUMBER('Bets'!N241),'Bets'!N241,NA())</f>
        <v>#N/A</v>
      </c>
    </row>
    <row r="246" spans="1:2">
      <c r="A246" s="22" t="e">
        <f>IF(ISNUMBER('Bets'!N242),241,NA())</f>
        <v>#N/A</v>
      </c>
      <c r="B246" s="20" t="e">
        <f>IF(ISNUMBER('Bets'!N242),'Bets'!N242,NA())</f>
        <v>#N/A</v>
      </c>
    </row>
    <row r="247" spans="1:2">
      <c r="A247" s="22" t="e">
        <f>IF(ISNUMBER('Bets'!N243),242,NA())</f>
        <v>#N/A</v>
      </c>
      <c r="B247" s="20" t="e">
        <f>IF(ISNUMBER('Bets'!N243),'Bets'!N243,NA())</f>
        <v>#N/A</v>
      </c>
    </row>
    <row r="248" spans="1:2">
      <c r="A248" s="22" t="e">
        <f>IF(ISNUMBER('Bets'!N244),243,NA())</f>
        <v>#N/A</v>
      </c>
      <c r="B248" s="20" t="e">
        <f>IF(ISNUMBER('Bets'!N244),'Bets'!N244,NA())</f>
        <v>#N/A</v>
      </c>
    </row>
    <row r="249" spans="1:2">
      <c r="A249" s="22" t="e">
        <f>IF(ISNUMBER('Bets'!N245),244,NA())</f>
        <v>#N/A</v>
      </c>
      <c r="B249" s="20" t="e">
        <f>IF(ISNUMBER('Bets'!N245),'Bets'!N245,NA())</f>
        <v>#N/A</v>
      </c>
    </row>
    <row r="250" spans="1:2">
      <c r="A250" s="22" t="e">
        <f>IF(ISNUMBER('Bets'!N246),245,NA())</f>
        <v>#N/A</v>
      </c>
      <c r="B250" s="20" t="e">
        <f>IF(ISNUMBER('Bets'!N246),'Bets'!N246,NA())</f>
        <v>#N/A</v>
      </c>
    </row>
    <row r="251" spans="1:2">
      <c r="A251" s="22" t="e">
        <f>IF(ISNUMBER('Bets'!N247),246,NA())</f>
        <v>#N/A</v>
      </c>
      <c r="B251" s="20" t="e">
        <f>IF(ISNUMBER('Bets'!N247),'Bets'!N247,NA())</f>
        <v>#N/A</v>
      </c>
    </row>
    <row r="252" spans="1:2">
      <c r="A252" s="22" t="e">
        <f>IF(ISNUMBER('Bets'!N248),247,NA())</f>
        <v>#N/A</v>
      </c>
      <c r="B252" s="20" t="e">
        <f>IF(ISNUMBER('Bets'!N248),'Bets'!N248,NA())</f>
        <v>#N/A</v>
      </c>
    </row>
    <row r="253" spans="1:2">
      <c r="A253" s="22" t="e">
        <f>IF(ISNUMBER('Bets'!N249),248,NA())</f>
        <v>#N/A</v>
      </c>
      <c r="B253" s="20" t="e">
        <f>IF(ISNUMBER('Bets'!N249),'Bets'!N249,NA())</f>
        <v>#N/A</v>
      </c>
    </row>
    <row r="254" spans="1:2">
      <c r="A254" s="22" t="e">
        <f>IF(ISNUMBER('Bets'!N250),249,NA())</f>
        <v>#N/A</v>
      </c>
      <c r="B254" s="20" t="e">
        <f>IF(ISNUMBER('Bets'!N250),'Bets'!N250,NA())</f>
        <v>#N/A</v>
      </c>
    </row>
    <row r="255" spans="1:2">
      <c r="A255" s="22" t="e">
        <f>IF(ISNUMBER('Bets'!N251),250,NA())</f>
        <v>#N/A</v>
      </c>
      <c r="B255" s="20" t="e">
        <f>IF(ISNUMBER('Bets'!N251),'Bets'!N251,NA())</f>
        <v>#N/A</v>
      </c>
    </row>
    <row r="256" spans="1:2">
      <c r="A256" s="22" t="e">
        <f>IF(ISNUMBER('Bets'!N252),251,NA())</f>
        <v>#N/A</v>
      </c>
      <c r="B256" s="20" t="e">
        <f>IF(ISNUMBER('Bets'!N252),'Bets'!N252,NA())</f>
        <v>#N/A</v>
      </c>
    </row>
    <row r="257" spans="1:2">
      <c r="A257" s="22" t="e">
        <f>IF(ISNUMBER('Bets'!N253),252,NA())</f>
        <v>#N/A</v>
      </c>
      <c r="B257" s="20" t="e">
        <f>IF(ISNUMBER('Bets'!N253),'Bets'!N253,NA())</f>
        <v>#N/A</v>
      </c>
    </row>
    <row r="258" spans="1:2">
      <c r="A258" s="22" t="e">
        <f>IF(ISNUMBER('Bets'!N254),253,NA())</f>
        <v>#N/A</v>
      </c>
      <c r="B258" s="20" t="e">
        <f>IF(ISNUMBER('Bets'!N254),'Bets'!N254,NA())</f>
        <v>#N/A</v>
      </c>
    </row>
    <row r="259" spans="1:2">
      <c r="A259" s="22" t="e">
        <f>IF(ISNUMBER('Bets'!N255),254,NA())</f>
        <v>#N/A</v>
      </c>
      <c r="B259" s="20" t="e">
        <f>IF(ISNUMBER('Bets'!N255),'Bets'!N255,NA())</f>
        <v>#N/A</v>
      </c>
    </row>
    <row r="260" spans="1:2">
      <c r="A260" s="22" t="e">
        <f>IF(ISNUMBER('Bets'!N256),255,NA())</f>
        <v>#N/A</v>
      </c>
      <c r="B260" s="20" t="e">
        <f>IF(ISNUMBER('Bets'!N256),'Bets'!N256,NA())</f>
        <v>#N/A</v>
      </c>
    </row>
    <row r="261" spans="1:2">
      <c r="A261" s="22" t="e">
        <f>IF(ISNUMBER('Bets'!N257),256,NA())</f>
        <v>#N/A</v>
      </c>
      <c r="B261" s="20" t="e">
        <f>IF(ISNUMBER('Bets'!N257),'Bets'!N257,NA())</f>
        <v>#N/A</v>
      </c>
    </row>
    <row r="262" spans="1:2">
      <c r="A262" s="22" t="e">
        <f>IF(ISNUMBER('Bets'!N258),257,NA())</f>
        <v>#N/A</v>
      </c>
      <c r="B262" s="20" t="e">
        <f>IF(ISNUMBER('Bets'!N258),'Bets'!N258,NA())</f>
        <v>#N/A</v>
      </c>
    </row>
    <row r="263" spans="1:2">
      <c r="A263" s="22" t="e">
        <f>IF(ISNUMBER('Bets'!N259),258,NA())</f>
        <v>#N/A</v>
      </c>
      <c r="B263" s="20" t="e">
        <f>IF(ISNUMBER('Bets'!N259),'Bets'!N259,NA())</f>
        <v>#N/A</v>
      </c>
    </row>
    <row r="264" spans="1:2">
      <c r="A264" s="22" t="e">
        <f>IF(ISNUMBER('Bets'!N260),259,NA())</f>
        <v>#N/A</v>
      </c>
      <c r="B264" s="20" t="e">
        <f>IF(ISNUMBER('Bets'!N260),'Bets'!N260,NA())</f>
        <v>#N/A</v>
      </c>
    </row>
    <row r="265" spans="1:2">
      <c r="A265" s="22" t="e">
        <f>IF(ISNUMBER('Bets'!N261),260,NA())</f>
        <v>#N/A</v>
      </c>
      <c r="B265" s="20" t="e">
        <f>IF(ISNUMBER('Bets'!N261),'Bets'!N261,NA())</f>
        <v>#N/A</v>
      </c>
    </row>
    <row r="266" spans="1:2">
      <c r="A266" s="22" t="e">
        <f>IF(ISNUMBER('Bets'!N262),261,NA())</f>
        <v>#N/A</v>
      </c>
      <c r="B266" s="20" t="e">
        <f>IF(ISNUMBER('Bets'!N262),'Bets'!N262,NA())</f>
        <v>#N/A</v>
      </c>
    </row>
    <row r="267" spans="1:2">
      <c r="A267" s="22" t="e">
        <f>IF(ISNUMBER('Bets'!N263),262,NA())</f>
        <v>#N/A</v>
      </c>
      <c r="B267" s="20" t="e">
        <f>IF(ISNUMBER('Bets'!N263),'Bets'!N263,NA())</f>
        <v>#N/A</v>
      </c>
    </row>
    <row r="268" spans="1:2">
      <c r="A268" s="22" t="e">
        <f>IF(ISNUMBER('Bets'!N264),263,NA())</f>
        <v>#N/A</v>
      </c>
      <c r="B268" s="20" t="e">
        <f>IF(ISNUMBER('Bets'!N264),'Bets'!N264,NA())</f>
        <v>#N/A</v>
      </c>
    </row>
    <row r="269" spans="1:2">
      <c r="A269" s="22" t="e">
        <f>IF(ISNUMBER('Bets'!N265),264,NA())</f>
        <v>#N/A</v>
      </c>
      <c r="B269" s="20" t="e">
        <f>IF(ISNUMBER('Bets'!N265),'Bets'!N265,NA())</f>
        <v>#N/A</v>
      </c>
    </row>
    <row r="270" spans="1:2">
      <c r="A270" s="22" t="e">
        <f>IF(ISNUMBER('Bets'!N266),265,NA())</f>
        <v>#N/A</v>
      </c>
      <c r="B270" s="20" t="e">
        <f>IF(ISNUMBER('Bets'!N266),'Bets'!N266,NA())</f>
        <v>#N/A</v>
      </c>
    </row>
    <row r="271" spans="1:2">
      <c r="A271" s="22" t="e">
        <f>IF(ISNUMBER('Bets'!N267),266,NA())</f>
        <v>#N/A</v>
      </c>
      <c r="B271" s="20" t="e">
        <f>IF(ISNUMBER('Bets'!N267),'Bets'!N267,NA())</f>
        <v>#N/A</v>
      </c>
    </row>
    <row r="272" spans="1:2">
      <c r="A272" s="22" t="e">
        <f>IF(ISNUMBER('Bets'!N268),267,NA())</f>
        <v>#N/A</v>
      </c>
      <c r="B272" s="20" t="e">
        <f>IF(ISNUMBER('Bets'!N268),'Bets'!N268,NA())</f>
        <v>#N/A</v>
      </c>
    </row>
    <row r="273" spans="1:2">
      <c r="A273" s="22" t="e">
        <f>IF(ISNUMBER('Bets'!N269),268,NA())</f>
        <v>#N/A</v>
      </c>
      <c r="B273" s="20" t="e">
        <f>IF(ISNUMBER('Bets'!N269),'Bets'!N269,NA())</f>
        <v>#N/A</v>
      </c>
    </row>
    <row r="274" spans="1:2">
      <c r="A274" s="22" t="e">
        <f>IF(ISNUMBER('Bets'!N270),269,NA())</f>
        <v>#N/A</v>
      </c>
      <c r="B274" s="20" t="e">
        <f>IF(ISNUMBER('Bets'!N270),'Bets'!N270,NA())</f>
        <v>#N/A</v>
      </c>
    </row>
    <row r="275" spans="1:2">
      <c r="A275" s="22" t="e">
        <f>IF(ISNUMBER('Bets'!N271),270,NA())</f>
        <v>#N/A</v>
      </c>
      <c r="B275" s="20" t="e">
        <f>IF(ISNUMBER('Bets'!N271),'Bets'!N271,NA())</f>
        <v>#N/A</v>
      </c>
    </row>
    <row r="276" spans="1:2">
      <c r="A276" s="22" t="e">
        <f>IF(ISNUMBER('Bets'!N272),271,NA())</f>
        <v>#N/A</v>
      </c>
      <c r="B276" s="20" t="e">
        <f>IF(ISNUMBER('Bets'!N272),'Bets'!N272,NA())</f>
        <v>#N/A</v>
      </c>
    </row>
    <row r="277" spans="1:2">
      <c r="A277" s="22" t="e">
        <f>IF(ISNUMBER('Bets'!N273),272,NA())</f>
        <v>#N/A</v>
      </c>
      <c r="B277" s="20" t="e">
        <f>IF(ISNUMBER('Bets'!N273),'Bets'!N273,NA())</f>
        <v>#N/A</v>
      </c>
    </row>
    <row r="278" spans="1:2">
      <c r="A278" s="22" t="e">
        <f>IF(ISNUMBER('Bets'!N274),273,NA())</f>
        <v>#N/A</v>
      </c>
      <c r="B278" s="20" t="e">
        <f>IF(ISNUMBER('Bets'!N274),'Bets'!N274,NA())</f>
        <v>#N/A</v>
      </c>
    </row>
    <row r="279" spans="1:2">
      <c r="A279" s="22" t="e">
        <f>IF(ISNUMBER('Bets'!N275),274,NA())</f>
        <v>#N/A</v>
      </c>
      <c r="B279" s="20" t="e">
        <f>IF(ISNUMBER('Bets'!N275),'Bets'!N275,NA())</f>
        <v>#N/A</v>
      </c>
    </row>
    <row r="280" spans="1:2">
      <c r="A280" s="22" t="e">
        <f>IF(ISNUMBER('Bets'!N276),275,NA())</f>
        <v>#N/A</v>
      </c>
      <c r="B280" s="20" t="e">
        <f>IF(ISNUMBER('Bets'!N276),'Bets'!N276,NA())</f>
        <v>#N/A</v>
      </c>
    </row>
    <row r="281" spans="1:2">
      <c r="A281" s="22" t="e">
        <f>IF(ISNUMBER('Bets'!N277),276,NA())</f>
        <v>#N/A</v>
      </c>
      <c r="B281" s="20" t="e">
        <f>IF(ISNUMBER('Bets'!N277),'Bets'!N277,NA())</f>
        <v>#N/A</v>
      </c>
    </row>
    <row r="282" spans="1:2">
      <c r="A282" s="22" t="e">
        <f>IF(ISNUMBER('Bets'!N278),277,NA())</f>
        <v>#N/A</v>
      </c>
      <c r="B282" s="20" t="e">
        <f>IF(ISNUMBER('Bets'!N278),'Bets'!N278,NA())</f>
        <v>#N/A</v>
      </c>
    </row>
    <row r="283" spans="1:2">
      <c r="A283" s="22" t="e">
        <f>IF(ISNUMBER('Bets'!N279),278,NA())</f>
        <v>#N/A</v>
      </c>
      <c r="B283" s="20" t="e">
        <f>IF(ISNUMBER('Bets'!N279),'Bets'!N279,NA())</f>
        <v>#N/A</v>
      </c>
    </row>
    <row r="284" spans="1:2">
      <c r="A284" s="22" t="e">
        <f>IF(ISNUMBER('Bets'!N280),279,NA())</f>
        <v>#N/A</v>
      </c>
      <c r="B284" s="20" t="e">
        <f>IF(ISNUMBER('Bets'!N280),'Bets'!N280,NA())</f>
        <v>#N/A</v>
      </c>
    </row>
    <row r="285" spans="1:2">
      <c r="A285" s="22" t="e">
        <f>IF(ISNUMBER('Bets'!N281),280,NA())</f>
        <v>#N/A</v>
      </c>
      <c r="B285" s="20" t="e">
        <f>IF(ISNUMBER('Bets'!N281),'Bets'!N281,NA())</f>
        <v>#N/A</v>
      </c>
    </row>
    <row r="286" spans="1:2">
      <c r="A286" s="22" t="e">
        <f>IF(ISNUMBER('Bets'!N282),281,NA())</f>
        <v>#N/A</v>
      </c>
      <c r="B286" s="20" t="e">
        <f>IF(ISNUMBER('Bets'!N282),'Bets'!N282,NA())</f>
        <v>#N/A</v>
      </c>
    </row>
    <row r="287" spans="1:2">
      <c r="A287" s="22" t="e">
        <f>IF(ISNUMBER('Bets'!N283),282,NA())</f>
        <v>#N/A</v>
      </c>
      <c r="B287" s="20" t="e">
        <f>IF(ISNUMBER('Bets'!N283),'Bets'!N283,NA())</f>
        <v>#N/A</v>
      </c>
    </row>
    <row r="288" spans="1:2">
      <c r="A288" s="22" t="e">
        <f>IF(ISNUMBER('Bets'!N284),283,NA())</f>
        <v>#N/A</v>
      </c>
      <c r="B288" s="20" t="e">
        <f>IF(ISNUMBER('Bets'!N284),'Bets'!N284,NA())</f>
        <v>#N/A</v>
      </c>
    </row>
    <row r="289" spans="1:2">
      <c r="A289" s="22" t="e">
        <f>IF(ISNUMBER('Bets'!N285),284,NA())</f>
        <v>#N/A</v>
      </c>
      <c r="B289" s="20" t="e">
        <f>IF(ISNUMBER('Bets'!N285),'Bets'!N285,NA())</f>
        <v>#N/A</v>
      </c>
    </row>
    <row r="290" spans="1:2">
      <c r="A290" s="22" t="e">
        <f>IF(ISNUMBER('Bets'!N286),285,NA())</f>
        <v>#N/A</v>
      </c>
      <c r="B290" s="20" t="e">
        <f>IF(ISNUMBER('Bets'!N286),'Bets'!N286,NA())</f>
        <v>#N/A</v>
      </c>
    </row>
    <row r="291" spans="1:2">
      <c r="A291" s="22" t="e">
        <f>IF(ISNUMBER('Bets'!N287),286,NA())</f>
        <v>#N/A</v>
      </c>
      <c r="B291" s="20" t="e">
        <f>IF(ISNUMBER('Bets'!N287),'Bets'!N287,NA())</f>
        <v>#N/A</v>
      </c>
    </row>
    <row r="292" spans="1:2">
      <c r="A292" s="22" t="e">
        <f>IF(ISNUMBER('Bets'!N288),287,NA())</f>
        <v>#N/A</v>
      </c>
      <c r="B292" s="20" t="e">
        <f>IF(ISNUMBER('Bets'!N288),'Bets'!N288,NA())</f>
        <v>#N/A</v>
      </c>
    </row>
    <row r="293" spans="1:2">
      <c r="A293" s="22" t="e">
        <f>IF(ISNUMBER('Bets'!N289),288,NA())</f>
        <v>#N/A</v>
      </c>
      <c r="B293" s="20" t="e">
        <f>IF(ISNUMBER('Bets'!N289),'Bets'!N289,NA())</f>
        <v>#N/A</v>
      </c>
    </row>
    <row r="294" spans="1:2">
      <c r="A294" s="22" t="e">
        <f>IF(ISNUMBER('Bets'!N290),289,NA())</f>
        <v>#N/A</v>
      </c>
      <c r="B294" s="20" t="e">
        <f>IF(ISNUMBER('Bets'!N290),'Bets'!N290,NA())</f>
        <v>#N/A</v>
      </c>
    </row>
    <row r="295" spans="1:2">
      <c r="A295" s="22" t="e">
        <f>IF(ISNUMBER('Bets'!N291),290,NA())</f>
        <v>#N/A</v>
      </c>
      <c r="B295" s="20" t="e">
        <f>IF(ISNUMBER('Bets'!N291),'Bets'!N291,NA())</f>
        <v>#N/A</v>
      </c>
    </row>
    <row r="296" spans="1:2">
      <c r="A296" s="22" t="e">
        <f>IF(ISNUMBER('Bets'!N292),291,NA())</f>
        <v>#N/A</v>
      </c>
      <c r="B296" s="20" t="e">
        <f>IF(ISNUMBER('Bets'!N292),'Bets'!N292,NA())</f>
        <v>#N/A</v>
      </c>
    </row>
    <row r="297" spans="1:2">
      <c r="A297" s="22" t="e">
        <f>IF(ISNUMBER('Bets'!N293),292,NA())</f>
        <v>#N/A</v>
      </c>
      <c r="B297" s="20" t="e">
        <f>IF(ISNUMBER('Bets'!N293),'Bets'!N293,NA())</f>
        <v>#N/A</v>
      </c>
    </row>
    <row r="298" spans="1:2">
      <c r="A298" s="22" t="e">
        <f>IF(ISNUMBER('Bets'!N294),293,NA())</f>
        <v>#N/A</v>
      </c>
      <c r="B298" s="20" t="e">
        <f>IF(ISNUMBER('Bets'!N294),'Bets'!N294,NA())</f>
        <v>#N/A</v>
      </c>
    </row>
    <row r="299" spans="1:2">
      <c r="A299" s="22" t="e">
        <f>IF(ISNUMBER('Bets'!N295),294,NA())</f>
        <v>#N/A</v>
      </c>
      <c r="B299" s="20" t="e">
        <f>IF(ISNUMBER('Bets'!N295),'Bets'!N295,NA())</f>
        <v>#N/A</v>
      </c>
    </row>
    <row r="300" spans="1:2">
      <c r="A300" s="22" t="e">
        <f>IF(ISNUMBER('Bets'!N296),295,NA())</f>
        <v>#N/A</v>
      </c>
      <c r="B300" s="20" t="e">
        <f>IF(ISNUMBER('Bets'!N296),'Bets'!N296,NA())</f>
        <v>#N/A</v>
      </c>
    </row>
    <row r="301" spans="1:2">
      <c r="A301" s="22" t="e">
        <f>IF(ISNUMBER('Bets'!N297),296,NA())</f>
        <v>#N/A</v>
      </c>
      <c r="B301" s="20" t="e">
        <f>IF(ISNUMBER('Bets'!N297),'Bets'!N297,NA())</f>
        <v>#N/A</v>
      </c>
    </row>
    <row r="302" spans="1:2">
      <c r="A302" s="22" t="e">
        <f>IF(ISNUMBER('Bets'!N298),297,NA())</f>
        <v>#N/A</v>
      </c>
      <c r="B302" s="20" t="e">
        <f>IF(ISNUMBER('Bets'!N298),'Bets'!N298,NA())</f>
        <v>#N/A</v>
      </c>
    </row>
    <row r="303" spans="1:2">
      <c r="A303" s="22" t="e">
        <f>IF(ISNUMBER('Bets'!N299),298,NA())</f>
        <v>#N/A</v>
      </c>
      <c r="B303" s="20" t="e">
        <f>IF(ISNUMBER('Bets'!N299),'Bets'!N299,NA())</f>
        <v>#N/A</v>
      </c>
    </row>
    <row r="304" spans="1:2">
      <c r="A304" s="22" t="e">
        <f>IF(ISNUMBER('Bets'!N300),299,NA())</f>
        <v>#N/A</v>
      </c>
      <c r="B304" s="20" t="e">
        <f>IF(ISNUMBER('Bets'!N300),'Bets'!N300,NA())</f>
        <v>#N/A</v>
      </c>
    </row>
    <row r="305" spans="1:2">
      <c r="A305" s="22" t="e">
        <f>IF(ISNUMBER('Bets'!N301),300,NA())</f>
        <v>#N/A</v>
      </c>
      <c r="B305" s="20" t="e">
        <f>IF(ISNUMBER('Bets'!N301),'Bets'!N301,NA())</f>
        <v>#N/A</v>
      </c>
    </row>
    <row r="306" spans="1:2">
      <c r="A306" s="22" t="e">
        <f>IF(ISNUMBER('Bets'!N302),301,NA())</f>
        <v>#N/A</v>
      </c>
      <c r="B306" s="20" t="e">
        <f>IF(ISNUMBER('Bets'!N302),'Bets'!N302,NA())</f>
        <v>#N/A</v>
      </c>
    </row>
    <row r="307" spans="1:2">
      <c r="A307" s="22" t="e">
        <f>IF(ISNUMBER('Bets'!N303),302,NA())</f>
        <v>#N/A</v>
      </c>
      <c r="B307" s="20" t="e">
        <f>IF(ISNUMBER('Bets'!N303),'Bets'!N303,NA())</f>
        <v>#N/A</v>
      </c>
    </row>
    <row r="308" spans="1:2">
      <c r="A308" s="22" t="e">
        <f>IF(ISNUMBER('Bets'!N304),303,NA())</f>
        <v>#N/A</v>
      </c>
      <c r="B308" s="20" t="e">
        <f>IF(ISNUMBER('Bets'!N304),'Bets'!N304,NA())</f>
        <v>#N/A</v>
      </c>
    </row>
    <row r="309" spans="1:2">
      <c r="A309" s="22" t="e">
        <f>IF(ISNUMBER('Bets'!N305),304,NA())</f>
        <v>#N/A</v>
      </c>
      <c r="B309" s="20" t="e">
        <f>IF(ISNUMBER('Bets'!N305),'Bets'!N305,NA())</f>
        <v>#N/A</v>
      </c>
    </row>
    <row r="310" spans="1:2">
      <c r="A310" s="22" t="e">
        <f>IF(ISNUMBER('Bets'!N306),305,NA())</f>
        <v>#N/A</v>
      </c>
      <c r="B310" s="20" t="e">
        <f>IF(ISNUMBER('Bets'!N306),'Bets'!N306,NA())</f>
        <v>#N/A</v>
      </c>
    </row>
    <row r="311" spans="1:2">
      <c r="A311" s="22" t="e">
        <f>IF(ISNUMBER('Bets'!N307),306,NA())</f>
        <v>#N/A</v>
      </c>
      <c r="B311" s="20" t="e">
        <f>IF(ISNUMBER('Bets'!N307),'Bets'!N307,NA())</f>
        <v>#N/A</v>
      </c>
    </row>
    <row r="312" spans="1:2">
      <c r="A312" s="22" t="e">
        <f>IF(ISNUMBER('Bets'!N308),307,NA())</f>
        <v>#N/A</v>
      </c>
      <c r="B312" s="20" t="e">
        <f>IF(ISNUMBER('Bets'!N308),'Bets'!N308,NA())</f>
        <v>#N/A</v>
      </c>
    </row>
    <row r="313" spans="1:2">
      <c r="A313" s="22" t="e">
        <f>IF(ISNUMBER('Bets'!N309),308,NA())</f>
        <v>#N/A</v>
      </c>
      <c r="B313" s="20" t="e">
        <f>IF(ISNUMBER('Bets'!N309),'Bets'!N309,NA())</f>
        <v>#N/A</v>
      </c>
    </row>
    <row r="314" spans="1:2">
      <c r="A314" s="22" t="e">
        <f>IF(ISNUMBER('Bets'!N310),309,NA())</f>
        <v>#N/A</v>
      </c>
      <c r="B314" s="20" t="e">
        <f>IF(ISNUMBER('Bets'!N310),'Bets'!N310,NA())</f>
        <v>#N/A</v>
      </c>
    </row>
    <row r="315" spans="1:2">
      <c r="A315" s="22" t="e">
        <f>IF(ISNUMBER('Bets'!N311),310,NA())</f>
        <v>#N/A</v>
      </c>
      <c r="B315" s="20" t="e">
        <f>IF(ISNUMBER('Bets'!N311),'Bets'!N311,NA())</f>
        <v>#N/A</v>
      </c>
    </row>
    <row r="316" spans="1:2">
      <c r="A316" s="22" t="e">
        <f>IF(ISNUMBER('Bets'!N312),311,NA())</f>
        <v>#N/A</v>
      </c>
      <c r="B316" s="20" t="e">
        <f>IF(ISNUMBER('Bets'!N312),'Bets'!N312,NA())</f>
        <v>#N/A</v>
      </c>
    </row>
    <row r="317" spans="1:2">
      <c r="A317" s="22" t="e">
        <f>IF(ISNUMBER('Bets'!N313),312,NA())</f>
        <v>#N/A</v>
      </c>
      <c r="B317" s="20" t="e">
        <f>IF(ISNUMBER('Bets'!N313),'Bets'!N313,NA())</f>
        <v>#N/A</v>
      </c>
    </row>
    <row r="318" spans="1:2">
      <c r="A318" s="22" t="e">
        <f>IF(ISNUMBER('Bets'!N314),313,NA())</f>
        <v>#N/A</v>
      </c>
      <c r="B318" s="20" t="e">
        <f>IF(ISNUMBER('Bets'!N314),'Bets'!N314,NA())</f>
        <v>#N/A</v>
      </c>
    </row>
    <row r="319" spans="1:2">
      <c r="A319" s="22" t="e">
        <f>IF(ISNUMBER('Bets'!N315),314,NA())</f>
        <v>#N/A</v>
      </c>
      <c r="B319" s="20" t="e">
        <f>IF(ISNUMBER('Bets'!N315),'Bets'!N315,NA())</f>
        <v>#N/A</v>
      </c>
    </row>
    <row r="320" spans="1:2">
      <c r="A320" s="22" t="e">
        <f>IF(ISNUMBER('Bets'!N316),315,NA())</f>
        <v>#N/A</v>
      </c>
      <c r="B320" s="20" t="e">
        <f>IF(ISNUMBER('Bets'!N316),'Bets'!N316,NA())</f>
        <v>#N/A</v>
      </c>
    </row>
    <row r="321" spans="1:2">
      <c r="A321" s="22" t="e">
        <f>IF(ISNUMBER('Bets'!N317),316,NA())</f>
        <v>#N/A</v>
      </c>
      <c r="B321" s="20" t="e">
        <f>IF(ISNUMBER('Bets'!N317),'Bets'!N317,NA())</f>
        <v>#N/A</v>
      </c>
    </row>
    <row r="322" spans="1:2">
      <c r="A322" s="22" t="e">
        <f>IF(ISNUMBER('Bets'!N318),317,NA())</f>
        <v>#N/A</v>
      </c>
      <c r="B322" s="20" t="e">
        <f>IF(ISNUMBER('Bets'!N318),'Bets'!N318,NA())</f>
        <v>#N/A</v>
      </c>
    </row>
    <row r="323" spans="1:2">
      <c r="A323" s="22" t="e">
        <f>IF(ISNUMBER('Bets'!N319),318,NA())</f>
        <v>#N/A</v>
      </c>
      <c r="B323" s="20" t="e">
        <f>IF(ISNUMBER('Bets'!N319),'Bets'!N319,NA())</f>
        <v>#N/A</v>
      </c>
    </row>
    <row r="324" spans="1:2">
      <c r="A324" s="22" t="e">
        <f>IF(ISNUMBER('Bets'!N320),319,NA())</f>
        <v>#N/A</v>
      </c>
      <c r="B324" s="20" t="e">
        <f>IF(ISNUMBER('Bets'!N320),'Bets'!N320,NA())</f>
        <v>#N/A</v>
      </c>
    </row>
    <row r="325" spans="1:2">
      <c r="A325" s="22" t="e">
        <f>IF(ISNUMBER('Bets'!N321),320,NA())</f>
        <v>#N/A</v>
      </c>
      <c r="B325" s="20" t="e">
        <f>IF(ISNUMBER('Bets'!N321),'Bets'!N321,NA())</f>
        <v>#N/A</v>
      </c>
    </row>
    <row r="326" spans="1:2">
      <c r="A326" s="22" t="e">
        <f>IF(ISNUMBER('Bets'!N322),321,NA())</f>
        <v>#N/A</v>
      </c>
      <c r="B326" s="20" t="e">
        <f>IF(ISNUMBER('Bets'!N322),'Bets'!N322,NA())</f>
        <v>#N/A</v>
      </c>
    </row>
    <row r="327" spans="1:2">
      <c r="A327" s="22" t="e">
        <f>IF(ISNUMBER('Bets'!N323),322,NA())</f>
        <v>#N/A</v>
      </c>
      <c r="B327" s="20" t="e">
        <f>IF(ISNUMBER('Bets'!N323),'Bets'!N323,NA())</f>
        <v>#N/A</v>
      </c>
    </row>
    <row r="328" spans="1:2">
      <c r="A328" s="22" t="e">
        <f>IF(ISNUMBER('Bets'!N324),323,NA())</f>
        <v>#N/A</v>
      </c>
      <c r="B328" s="20" t="e">
        <f>IF(ISNUMBER('Bets'!N324),'Bets'!N324,NA())</f>
        <v>#N/A</v>
      </c>
    </row>
    <row r="329" spans="1:2">
      <c r="A329" s="22" t="e">
        <f>IF(ISNUMBER('Bets'!N325),324,NA())</f>
        <v>#N/A</v>
      </c>
      <c r="B329" s="20" t="e">
        <f>IF(ISNUMBER('Bets'!N325),'Bets'!N325,NA())</f>
        <v>#N/A</v>
      </c>
    </row>
    <row r="330" spans="1:2">
      <c r="A330" s="22" t="e">
        <f>IF(ISNUMBER('Bets'!N326),325,NA())</f>
        <v>#N/A</v>
      </c>
      <c r="B330" s="20" t="e">
        <f>IF(ISNUMBER('Bets'!N326),'Bets'!N326,NA())</f>
        <v>#N/A</v>
      </c>
    </row>
    <row r="331" spans="1:2">
      <c r="A331" s="22" t="e">
        <f>IF(ISNUMBER('Bets'!N327),326,NA())</f>
        <v>#N/A</v>
      </c>
      <c r="B331" s="20" t="e">
        <f>IF(ISNUMBER('Bets'!N327),'Bets'!N327,NA())</f>
        <v>#N/A</v>
      </c>
    </row>
    <row r="332" spans="1:2">
      <c r="A332" s="22" t="e">
        <f>IF(ISNUMBER('Bets'!N328),327,NA())</f>
        <v>#N/A</v>
      </c>
      <c r="B332" s="20" t="e">
        <f>IF(ISNUMBER('Bets'!N328),'Bets'!N328,NA())</f>
        <v>#N/A</v>
      </c>
    </row>
    <row r="333" spans="1:2">
      <c r="A333" s="22" t="e">
        <f>IF(ISNUMBER('Bets'!N329),328,NA())</f>
        <v>#N/A</v>
      </c>
      <c r="B333" s="20" t="e">
        <f>IF(ISNUMBER('Bets'!N329),'Bets'!N329,NA())</f>
        <v>#N/A</v>
      </c>
    </row>
    <row r="334" spans="1:2">
      <c r="A334" s="22" t="e">
        <f>IF(ISNUMBER('Bets'!N330),329,NA())</f>
        <v>#N/A</v>
      </c>
      <c r="B334" s="20" t="e">
        <f>IF(ISNUMBER('Bets'!N330),'Bets'!N330,NA())</f>
        <v>#N/A</v>
      </c>
    </row>
    <row r="335" spans="1:2">
      <c r="A335" s="22" t="e">
        <f>IF(ISNUMBER('Bets'!N331),330,NA())</f>
        <v>#N/A</v>
      </c>
      <c r="B335" s="20" t="e">
        <f>IF(ISNUMBER('Bets'!N331),'Bets'!N331,NA())</f>
        <v>#N/A</v>
      </c>
    </row>
    <row r="336" spans="1:2">
      <c r="A336" s="22" t="e">
        <f>IF(ISNUMBER('Bets'!N332),331,NA())</f>
        <v>#N/A</v>
      </c>
      <c r="B336" s="20" t="e">
        <f>IF(ISNUMBER('Bets'!N332),'Bets'!N332,NA())</f>
        <v>#N/A</v>
      </c>
    </row>
    <row r="337" spans="1:2">
      <c r="A337" s="22" t="e">
        <f>IF(ISNUMBER('Bets'!N333),332,NA())</f>
        <v>#N/A</v>
      </c>
      <c r="B337" s="20" t="e">
        <f>IF(ISNUMBER('Bets'!N333),'Bets'!N333,NA())</f>
        <v>#N/A</v>
      </c>
    </row>
    <row r="338" spans="1:2">
      <c r="A338" s="22" t="e">
        <f>IF(ISNUMBER('Bets'!N334),333,NA())</f>
        <v>#N/A</v>
      </c>
      <c r="B338" s="20" t="e">
        <f>IF(ISNUMBER('Bets'!N334),'Bets'!N334,NA())</f>
        <v>#N/A</v>
      </c>
    </row>
    <row r="339" spans="1:2">
      <c r="A339" s="22" t="e">
        <f>IF(ISNUMBER('Bets'!N335),334,NA())</f>
        <v>#N/A</v>
      </c>
      <c r="B339" s="20" t="e">
        <f>IF(ISNUMBER('Bets'!N335),'Bets'!N335,NA())</f>
        <v>#N/A</v>
      </c>
    </row>
    <row r="340" spans="1:2">
      <c r="A340" s="22" t="e">
        <f>IF(ISNUMBER('Bets'!N336),335,NA())</f>
        <v>#N/A</v>
      </c>
      <c r="B340" s="20" t="e">
        <f>IF(ISNUMBER('Bets'!N336),'Bets'!N336,NA())</f>
        <v>#N/A</v>
      </c>
    </row>
    <row r="341" spans="1:2">
      <c r="A341" s="22" t="e">
        <f>IF(ISNUMBER('Bets'!N337),336,NA())</f>
        <v>#N/A</v>
      </c>
      <c r="B341" s="20" t="e">
        <f>IF(ISNUMBER('Bets'!N337),'Bets'!N337,NA())</f>
        <v>#N/A</v>
      </c>
    </row>
    <row r="342" spans="1:2">
      <c r="A342" s="22" t="e">
        <f>IF(ISNUMBER('Bets'!N338),337,NA())</f>
        <v>#N/A</v>
      </c>
      <c r="B342" s="20" t="e">
        <f>IF(ISNUMBER('Bets'!N338),'Bets'!N338,NA())</f>
        <v>#N/A</v>
      </c>
    </row>
    <row r="343" spans="1:2">
      <c r="A343" s="22" t="e">
        <f>IF(ISNUMBER('Bets'!N339),338,NA())</f>
        <v>#N/A</v>
      </c>
      <c r="B343" s="20" t="e">
        <f>IF(ISNUMBER('Bets'!N339),'Bets'!N339,NA())</f>
        <v>#N/A</v>
      </c>
    </row>
    <row r="344" spans="1:2">
      <c r="A344" s="22" t="e">
        <f>IF(ISNUMBER('Bets'!N340),339,NA())</f>
        <v>#N/A</v>
      </c>
      <c r="B344" s="20" t="e">
        <f>IF(ISNUMBER('Bets'!N340),'Bets'!N340,NA())</f>
        <v>#N/A</v>
      </c>
    </row>
    <row r="345" spans="1:2">
      <c r="A345" s="22" t="e">
        <f>IF(ISNUMBER('Bets'!N341),340,NA())</f>
        <v>#N/A</v>
      </c>
      <c r="B345" s="20" t="e">
        <f>IF(ISNUMBER('Bets'!N341),'Bets'!N341,NA())</f>
        <v>#N/A</v>
      </c>
    </row>
    <row r="346" spans="1:2">
      <c r="A346" s="22" t="e">
        <f>IF(ISNUMBER('Bets'!N342),341,NA())</f>
        <v>#N/A</v>
      </c>
      <c r="B346" s="20" t="e">
        <f>IF(ISNUMBER('Bets'!N342),'Bets'!N342,NA())</f>
        <v>#N/A</v>
      </c>
    </row>
    <row r="347" spans="1:2">
      <c r="A347" s="22" t="e">
        <f>IF(ISNUMBER('Bets'!N343),342,NA())</f>
        <v>#N/A</v>
      </c>
      <c r="B347" s="20" t="e">
        <f>IF(ISNUMBER('Bets'!N343),'Bets'!N343,NA())</f>
        <v>#N/A</v>
      </c>
    </row>
    <row r="348" spans="1:2">
      <c r="A348" s="22" t="e">
        <f>IF(ISNUMBER('Bets'!N344),343,NA())</f>
        <v>#N/A</v>
      </c>
      <c r="B348" s="20" t="e">
        <f>IF(ISNUMBER('Bets'!N344),'Bets'!N344,NA())</f>
        <v>#N/A</v>
      </c>
    </row>
    <row r="349" spans="1:2">
      <c r="A349" s="22" t="e">
        <f>IF(ISNUMBER('Bets'!N345),344,NA())</f>
        <v>#N/A</v>
      </c>
      <c r="B349" s="20" t="e">
        <f>IF(ISNUMBER('Bets'!N345),'Bets'!N345,NA())</f>
        <v>#N/A</v>
      </c>
    </row>
    <row r="350" spans="1:2">
      <c r="A350" s="22" t="e">
        <f>IF(ISNUMBER('Bets'!N346),345,NA())</f>
        <v>#N/A</v>
      </c>
      <c r="B350" s="20" t="e">
        <f>IF(ISNUMBER('Bets'!N346),'Bets'!N346,NA())</f>
        <v>#N/A</v>
      </c>
    </row>
    <row r="351" spans="1:2">
      <c r="A351" s="22" t="e">
        <f>IF(ISNUMBER('Bets'!N347),346,NA())</f>
        <v>#N/A</v>
      </c>
      <c r="B351" s="20" t="e">
        <f>IF(ISNUMBER('Bets'!N347),'Bets'!N347,NA())</f>
        <v>#N/A</v>
      </c>
    </row>
    <row r="352" spans="1:2">
      <c r="A352" s="22" t="e">
        <f>IF(ISNUMBER('Bets'!N348),347,NA())</f>
        <v>#N/A</v>
      </c>
      <c r="B352" s="20" t="e">
        <f>IF(ISNUMBER('Bets'!N348),'Bets'!N348,NA())</f>
        <v>#N/A</v>
      </c>
    </row>
    <row r="353" spans="1:2">
      <c r="A353" s="22" t="e">
        <f>IF(ISNUMBER('Bets'!N349),348,NA())</f>
        <v>#N/A</v>
      </c>
      <c r="B353" s="20" t="e">
        <f>IF(ISNUMBER('Bets'!N349),'Bets'!N349,NA())</f>
        <v>#N/A</v>
      </c>
    </row>
    <row r="354" spans="1:2">
      <c r="A354" s="22" t="e">
        <f>IF(ISNUMBER('Bets'!N350),349,NA())</f>
        <v>#N/A</v>
      </c>
      <c r="B354" s="20" t="e">
        <f>IF(ISNUMBER('Bets'!N350),'Bets'!N350,NA())</f>
        <v>#N/A</v>
      </c>
    </row>
    <row r="355" spans="1:2">
      <c r="A355" s="22" t="e">
        <f>IF(ISNUMBER('Bets'!N351),350,NA())</f>
        <v>#N/A</v>
      </c>
      <c r="B355" s="20" t="e">
        <f>IF(ISNUMBER('Bets'!N351),'Bets'!N351,NA())</f>
        <v>#N/A</v>
      </c>
    </row>
    <row r="356" spans="1:2">
      <c r="A356" s="22" t="e">
        <f>IF(ISNUMBER('Bets'!N352),351,NA())</f>
        <v>#N/A</v>
      </c>
      <c r="B356" s="20" t="e">
        <f>IF(ISNUMBER('Bets'!N352),'Bets'!N352,NA())</f>
        <v>#N/A</v>
      </c>
    </row>
    <row r="357" spans="1:2">
      <c r="A357" s="22" t="e">
        <f>IF(ISNUMBER('Bets'!N353),352,NA())</f>
        <v>#N/A</v>
      </c>
      <c r="B357" s="20" t="e">
        <f>IF(ISNUMBER('Bets'!N353),'Bets'!N353,NA())</f>
        <v>#N/A</v>
      </c>
    </row>
    <row r="358" spans="1:2">
      <c r="A358" s="22" t="e">
        <f>IF(ISNUMBER('Bets'!N354),353,NA())</f>
        <v>#N/A</v>
      </c>
      <c r="B358" s="20" t="e">
        <f>IF(ISNUMBER('Bets'!N354),'Bets'!N354,NA())</f>
        <v>#N/A</v>
      </c>
    </row>
    <row r="359" spans="1:2">
      <c r="A359" s="22" t="e">
        <f>IF(ISNUMBER('Bets'!N355),354,NA())</f>
        <v>#N/A</v>
      </c>
      <c r="B359" s="20" t="e">
        <f>IF(ISNUMBER('Bets'!N355),'Bets'!N355,NA())</f>
        <v>#N/A</v>
      </c>
    </row>
    <row r="360" spans="1:2">
      <c r="A360" s="22" t="e">
        <f>IF(ISNUMBER('Bets'!N356),355,NA())</f>
        <v>#N/A</v>
      </c>
      <c r="B360" s="20" t="e">
        <f>IF(ISNUMBER('Bets'!N356),'Bets'!N356,NA())</f>
        <v>#N/A</v>
      </c>
    </row>
    <row r="361" spans="1:2">
      <c r="A361" s="22" t="e">
        <f>IF(ISNUMBER('Bets'!N357),356,NA())</f>
        <v>#N/A</v>
      </c>
      <c r="B361" s="20" t="e">
        <f>IF(ISNUMBER('Bets'!N357),'Bets'!N357,NA())</f>
        <v>#N/A</v>
      </c>
    </row>
    <row r="362" spans="1:2">
      <c r="A362" s="22" t="e">
        <f>IF(ISNUMBER('Bets'!N358),357,NA())</f>
        <v>#N/A</v>
      </c>
      <c r="B362" s="20" t="e">
        <f>IF(ISNUMBER('Bets'!N358),'Bets'!N358,NA())</f>
        <v>#N/A</v>
      </c>
    </row>
    <row r="363" spans="1:2">
      <c r="A363" s="22" t="e">
        <f>IF(ISNUMBER('Bets'!N359),358,NA())</f>
        <v>#N/A</v>
      </c>
      <c r="B363" s="20" t="e">
        <f>IF(ISNUMBER('Bets'!N359),'Bets'!N359,NA())</f>
        <v>#N/A</v>
      </c>
    </row>
    <row r="364" spans="1:2">
      <c r="A364" s="22" t="e">
        <f>IF(ISNUMBER('Bets'!N360),359,NA())</f>
        <v>#N/A</v>
      </c>
      <c r="B364" s="20" t="e">
        <f>IF(ISNUMBER('Bets'!N360),'Bets'!N360,NA())</f>
        <v>#N/A</v>
      </c>
    </row>
    <row r="365" spans="1:2">
      <c r="A365" s="22" t="e">
        <f>IF(ISNUMBER('Bets'!N361),360,NA())</f>
        <v>#N/A</v>
      </c>
      <c r="B365" s="20" t="e">
        <f>IF(ISNUMBER('Bets'!N361),'Bets'!N361,NA())</f>
        <v>#N/A</v>
      </c>
    </row>
    <row r="366" spans="1:2">
      <c r="A366" s="22" t="e">
        <f>IF(ISNUMBER('Bets'!N362),361,NA())</f>
        <v>#N/A</v>
      </c>
      <c r="B366" s="20" t="e">
        <f>IF(ISNUMBER('Bets'!N362),'Bets'!N362,NA())</f>
        <v>#N/A</v>
      </c>
    </row>
    <row r="367" spans="1:2">
      <c r="A367" s="22" t="e">
        <f>IF(ISNUMBER('Bets'!N363),362,NA())</f>
        <v>#N/A</v>
      </c>
      <c r="B367" s="20" t="e">
        <f>IF(ISNUMBER('Bets'!N363),'Bets'!N363,NA())</f>
        <v>#N/A</v>
      </c>
    </row>
    <row r="368" spans="1:2">
      <c r="A368" s="22" t="e">
        <f>IF(ISNUMBER('Bets'!N364),363,NA())</f>
        <v>#N/A</v>
      </c>
      <c r="B368" s="20" t="e">
        <f>IF(ISNUMBER('Bets'!N364),'Bets'!N364,NA())</f>
        <v>#N/A</v>
      </c>
    </row>
    <row r="369" spans="1:2">
      <c r="A369" s="22" t="e">
        <f>IF(ISNUMBER('Bets'!N365),364,NA())</f>
        <v>#N/A</v>
      </c>
      <c r="B369" s="20" t="e">
        <f>IF(ISNUMBER('Bets'!N365),'Bets'!N365,NA())</f>
        <v>#N/A</v>
      </c>
    </row>
    <row r="370" spans="1:2">
      <c r="A370" s="22" t="e">
        <f>IF(ISNUMBER('Bets'!N366),365,NA())</f>
        <v>#N/A</v>
      </c>
      <c r="B370" s="20" t="e">
        <f>IF(ISNUMBER('Bets'!N366),'Bets'!N366,NA())</f>
        <v>#N/A</v>
      </c>
    </row>
    <row r="371" spans="1:2">
      <c r="A371" s="22" t="e">
        <f>IF(ISNUMBER('Bets'!N367),366,NA())</f>
        <v>#N/A</v>
      </c>
      <c r="B371" s="20" t="e">
        <f>IF(ISNUMBER('Bets'!N367),'Bets'!N367,NA())</f>
        <v>#N/A</v>
      </c>
    </row>
    <row r="372" spans="1:2">
      <c r="A372" s="22" t="e">
        <f>IF(ISNUMBER('Bets'!N368),367,NA())</f>
        <v>#N/A</v>
      </c>
      <c r="B372" s="20" t="e">
        <f>IF(ISNUMBER('Bets'!N368),'Bets'!N368,NA())</f>
        <v>#N/A</v>
      </c>
    </row>
    <row r="373" spans="1:2">
      <c r="A373" s="22" t="e">
        <f>IF(ISNUMBER('Bets'!N369),368,NA())</f>
        <v>#N/A</v>
      </c>
      <c r="B373" s="20" t="e">
        <f>IF(ISNUMBER('Bets'!N369),'Bets'!N369,NA())</f>
        <v>#N/A</v>
      </c>
    </row>
    <row r="374" spans="1:2">
      <c r="A374" s="22" t="e">
        <f>IF(ISNUMBER('Bets'!N370),369,NA())</f>
        <v>#N/A</v>
      </c>
      <c r="B374" s="20" t="e">
        <f>IF(ISNUMBER('Bets'!N370),'Bets'!N370,NA())</f>
        <v>#N/A</v>
      </c>
    </row>
    <row r="375" spans="1:2">
      <c r="A375" s="22" t="e">
        <f>IF(ISNUMBER('Bets'!N371),370,NA())</f>
        <v>#N/A</v>
      </c>
      <c r="B375" s="20" t="e">
        <f>IF(ISNUMBER('Bets'!N371),'Bets'!N371,NA())</f>
        <v>#N/A</v>
      </c>
    </row>
    <row r="376" spans="1:2">
      <c r="A376" s="22" t="e">
        <f>IF(ISNUMBER('Bets'!N372),371,NA())</f>
        <v>#N/A</v>
      </c>
      <c r="B376" s="20" t="e">
        <f>IF(ISNUMBER('Bets'!N372),'Bets'!N372,NA())</f>
        <v>#N/A</v>
      </c>
    </row>
    <row r="377" spans="1:2">
      <c r="A377" s="22" t="e">
        <f>IF(ISNUMBER('Bets'!N373),372,NA())</f>
        <v>#N/A</v>
      </c>
      <c r="B377" s="20" t="e">
        <f>IF(ISNUMBER('Bets'!N373),'Bets'!N373,NA())</f>
        <v>#N/A</v>
      </c>
    </row>
    <row r="378" spans="1:2">
      <c r="A378" s="22" t="e">
        <f>IF(ISNUMBER('Bets'!N374),373,NA())</f>
        <v>#N/A</v>
      </c>
      <c r="B378" s="20" t="e">
        <f>IF(ISNUMBER('Bets'!N374),'Bets'!N374,NA())</f>
        <v>#N/A</v>
      </c>
    </row>
    <row r="379" spans="1:2">
      <c r="A379" s="22" t="e">
        <f>IF(ISNUMBER('Bets'!N375),374,NA())</f>
        <v>#N/A</v>
      </c>
      <c r="B379" s="20" t="e">
        <f>IF(ISNUMBER('Bets'!N375),'Bets'!N375,NA())</f>
        <v>#N/A</v>
      </c>
    </row>
    <row r="380" spans="1:2">
      <c r="A380" s="22" t="e">
        <f>IF(ISNUMBER('Bets'!N376),375,NA())</f>
        <v>#N/A</v>
      </c>
      <c r="B380" s="20" t="e">
        <f>IF(ISNUMBER('Bets'!N376),'Bets'!N376,NA())</f>
        <v>#N/A</v>
      </c>
    </row>
    <row r="381" spans="1:2">
      <c r="A381" s="22" t="e">
        <f>IF(ISNUMBER('Bets'!N377),376,NA())</f>
        <v>#N/A</v>
      </c>
      <c r="B381" s="20" t="e">
        <f>IF(ISNUMBER('Bets'!N377),'Bets'!N377,NA())</f>
        <v>#N/A</v>
      </c>
    </row>
    <row r="382" spans="1:2">
      <c r="A382" s="22" t="e">
        <f>IF(ISNUMBER('Bets'!N378),377,NA())</f>
        <v>#N/A</v>
      </c>
      <c r="B382" s="20" t="e">
        <f>IF(ISNUMBER('Bets'!N378),'Bets'!N378,NA())</f>
        <v>#N/A</v>
      </c>
    </row>
    <row r="383" spans="1:2">
      <c r="A383" s="22" t="e">
        <f>IF(ISNUMBER('Bets'!N379),378,NA())</f>
        <v>#N/A</v>
      </c>
      <c r="B383" s="20" t="e">
        <f>IF(ISNUMBER('Bets'!N379),'Bets'!N379,NA())</f>
        <v>#N/A</v>
      </c>
    </row>
    <row r="384" spans="1:2">
      <c r="A384" s="22" t="e">
        <f>IF(ISNUMBER('Bets'!N380),379,NA())</f>
        <v>#N/A</v>
      </c>
      <c r="B384" s="20" t="e">
        <f>IF(ISNUMBER('Bets'!N380),'Bets'!N380,NA())</f>
        <v>#N/A</v>
      </c>
    </row>
    <row r="385" spans="1:2">
      <c r="A385" s="22" t="e">
        <f>IF(ISNUMBER('Bets'!N381),380,NA())</f>
        <v>#N/A</v>
      </c>
      <c r="B385" s="20" t="e">
        <f>IF(ISNUMBER('Bets'!N381),'Bets'!N381,NA())</f>
        <v>#N/A</v>
      </c>
    </row>
    <row r="386" spans="1:2">
      <c r="A386" s="22" t="e">
        <f>IF(ISNUMBER('Bets'!N382),381,NA())</f>
        <v>#N/A</v>
      </c>
      <c r="B386" s="20" t="e">
        <f>IF(ISNUMBER('Bets'!N382),'Bets'!N382,NA())</f>
        <v>#N/A</v>
      </c>
    </row>
    <row r="387" spans="1:2">
      <c r="A387" s="22" t="e">
        <f>IF(ISNUMBER('Bets'!N383),382,NA())</f>
        <v>#N/A</v>
      </c>
      <c r="B387" s="20" t="e">
        <f>IF(ISNUMBER('Bets'!N383),'Bets'!N383,NA())</f>
        <v>#N/A</v>
      </c>
    </row>
    <row r="388" spans="1:2">
      <c r="A388" s="22" t="e">
        <f>IF(ISNUMBER('Bets'!N384),383,NA())</f>
        <v>#N/A</v>
      </c>
      <c r="B388" s="20" t="e">
        <f>IF(ISNUMBER('Bets'!N384),'Bets'!N384,NA())</f>
        <v>#N/A</v>
      </c>
    </row>
    <row r="389" spans="1:2">
      <c r="A389" s="22" t="e">
        <f>IF(ISNUMBER('Bets'!N385),384,NA())</f>
        <v>#N/A</v>
      </c>
      <c r="B389" s="20" t="e">
        <f>IF(ISNUMBER('Bets'!N385),'Bets'!N385,NA())</f>
        <v>#N/A</v>
      </c>
    </row>
    <row r="390" spans="1:2">
      <c r="A390" s="22" t="e">
        <f>IF(ISNUMBER('Bets'!N386),385,NA())</f>
        <v>#N/A</v>
      </c>
      <c r="B390" s="20" t="e">
        <f>IF(ISNUMBER('Bets'!N386),'Bets'!N386,NA())</f>
        <v>#N/A</v>
      </c>
    </row>
    <row r="391" spans="1:2">
      <c r="A391" s="22" t="e">
        <f>IF(ISNUMBER('Bets'!N387),386,NA())</f>
        <v>#N/A</v>
      </c>
      <c r="B391" s="20" t="e">
        <f>IF(ISNUMBER('Bets'!N387),'Bets'!N387,NA())</f>
        <v>#N/A</v>
      </c>
    </row>
    <row r="392" spans="1:2">
      <c r="A392" s="22" t="e">
        <f>IF(ISNUMBER('Bets'!N388),387,NA())</f>
        <v>#N/A</v>
      </c>
      <c r="B392" s="20" t="e">
        <f>IF(ISNUMBER('Bets'!N388),'Bets'!N388,NA())</f>
        <v>#N/A</v>
      </c>
    </row>
    <row r="393" spans="1:2">
      <c r="A393" s="22" t="e">
        <f>IF(ISNUMBER('Bets'!N389),388,NA())</f>
        <v>#N/A</v>
      </c>
      <c r="B393" s="20" t="e">
        <f>IF(ISNUMBER('Bets'!N389),'Bets'!N389,NA())</f>
        <v>#N/A</v>
      </c>
    </row>
    <row r="394" spans="1:2">
      <c r="A394" s="22" t="e">
        <f>IF(ISNUMBER('Bets'!N390),389,NA())</f>
        <v>#N/A</v>
      </c>
      <c r="B394" s="20" t="e">
        <f>IF(ISNUMBER('Bets'!N390),'Bets'!N390,NA())</f>
        <v>#N/A</v>
      </c>
    </row>
    <row r="395" spans="1:2">
      <c r="A395" s="22" t="e">
        <f>IF(ISNUMBER('Bets'!N391),390,NA())</f>
        <v>#N/A</v>
      </c>
      <c r="B395" s="20" t="e">
        <f>IF(ISNUMBER('Bets'!N391),'Bets'!N391,NA())</f>
        <v>#N/A</v>
      </c>
    </row>
    <row r="396" spans="1:2">
      <c r="A396" s="22" t="e">
        <f>IF(ISNUMBER('Bets'!N392),391,NA())</f>
        <v>#N/A</v>
      </c>
      <c r="B396" s="20" t="e">
        <f>IF(ISNUMBER('Bets'!N392),'Bets'!N392,NA())</f>
        <v>#N/A</v>
      </c>
    </row>
    <row r="397" spans="1:2">
      <c r="A397" s="22" t="e">
        <f>IF(ISNUMBER('Bets'!N393),392,NA())</f>
        <v>#N/A</v>
      </c>
      <c r="B397" s="20" t="e">
        <f>IF(ISNUMBER('Bets'!N393),'Bets'!N393,NA())</f>
        <v>#N/A</v>
      </c>
    </row>
    <row r="398" spans="1:2">
      <c r="A398" s="22" t="e">
        <f>IF(ISNUMBER('Bets'!N394),393,NA())</f>
        <v>#N/A</v>
      </c>
      <c r="B398" s="20" t="e">
        <f>IF(ISNUMBER('Bets'!N394),'Bets'!N394,NA())</f>
        <v>#N/A</v>
      </c>
    </row>
    <row r="399" spans="1:2">
      <c r="A399" s="22" t="e">
        <f>IF(ISNUMBER('Bets'!N395),394,NA())</f>
        <v>#N/A</v>
      </c>
      <c r="B399" s="20" t="e">
        <f>IF(ISNUMBER('Bets'!N395),'Bets'!N395,NA())</f>
        <v>#N/A</v>
      </c>
    </row>
    <row r="400" spans="1:2">
      <c r="A400" s="22" t="e">
        <f>IF(ISNUMBER('Bets'!N396),395,NA())</f>
        <v>#N/A</v>
      </c>
      <c r="B400" s="20" t="e">
        <f>IF(ISNUMBER('Bets'!N396),'Bets'!N396,NA())</f>
        <v>#N/A</v>
      </c>
    </row>
    <row r="401" spans="1:2">
      <c r="A401" s="22" t="e">
        <f>IF(ISNUMBER('Bets'!N397),396,NA())</f>
        <v>#N/A</v>
      </c>
      <c r="B401" s="20" t="e">
        <f>IF(ISNUMBER('Bets'!N397),'Bets'!N397,NA())</f>
        <v>#N/A</v>
      </c>
    </row>
    <row r="402" spans="1:2">
      <c r="A402" s="22" t="e">
        <f>IF(ISNUMBER('Bets'!N398),397,NA())</f>
        <v>#N/A</v>
      </c>
      <c r="B402" s="20" t="e">
        <f>IF(ISNUMBER('Bets'!N398),'Bets'!N398,NA())</f>
        <v>#N/A</v>
      </c>
    </row>
    <row r="403" spans="1:2">
      <c r="A403" s="22" t="e">
        <f>IF(ISNUMBER('Bets'!N399),398,NA())</f>
        <v>#N/A</v>
      </c>
      <c r="B403" s="20" t="e">
        <f>IF(ISNUMBER('Bets'!N399),'Bets'!N399,NA())</f>
        <v>#N/A</v>
      </c>
    </row>
    <row r="404" spans="1:2">
      <c r="A404" s="22" t="e">
        <f>IF(ISNUMBER('Bets'!N400),399,NA())</f>
        <v>#N/A</v>
      </c>
      <c r="B404" s="20" t="e">
        <f>IF(ISNUMBER('Bets'!N400),'Bets'!N400,NA())</f>
        <v>#N/A</v>
      </c>
    </row>
    <row r="405" spans="1:2">
      <c r="A405" s="22" t="e">
        <f>IF(ISNUMBER('Bets'!N401),400,NA())</f>
        <v>#N/A</v>
      </c>
      <c r="B405" s="20" t="e">
        <f>IF(ISNUMBER('Bets'!N401),'Bets'!N401,NA())</f>
        <v>#N/A</v>
      </c>
    </row>
    <row r="406" spans="1:2">
      <c r="A406" s="22" t="e">
        <f>IF(ISNUMBER('Bets'!N402),401,NA())</f>
        <v>#N/A</v>
      </c>
      <c r="B406" s="20" t="e">
        <f>IF(ISNUMBER('Bets'!N402),'Bets'!N402,NA())</f>
        <v>#N/A</v>
      </c>
    </row>
    <row r="407" spans="1:2">
      <c r="A407" s="22" t="e">
        <f>IF(ISNUMBER('Bets'!N403),402,NA())</f>
        <v>#N/A</v>
      </c>
      <c r="B407" s="20" t="e">
        <f>IF(ISNUMBER('Bets'!N403),'Bets'!N403,NA())</f>
        <v>#N/A</v>
      </c>
    </row>
    <row r="408" spans="1:2">
      <c r="A408" s="22" t="e">
        <f>IF(ISNUMBER('Bets'!N404),403,NA())</f>
        <v>#N/A</v>
      </c>
      <c r="B408" s="20" t="e">
        <f>IF(ISNUMBER('Bets'!N404),'Bets'!N404,NA())</f>
        <v>#N/A</v>
      </c>
    </row>
    <row r="409" spans="1:2">
      <c r="A409" s="22" t="e">
        <f>IF(ISNUMBER('Bets'!N405),404,NA())</f>
        <v>#N/A</v>
      </c>
      <c r="B409" s="20" t="e">
        <f>IF(ISNUMBER('Bets'!N405),'Bets'!N405,NA())</f>
        <v>#N/A</v>
      </c>
    </row>
    <row r="410" spans="1:2">
      <c r="A410" s="22" t="e">
        <f>IF(ISNUMBER('Bets'!N406),405,NA())</f>
        <v>#N/A</v>
      </c>
      <c r="B410" s="20" t="e">
        <f>IF(ISNUMBER('Bets'!N406),'Bets'!N406,NA())</f>
        <v>#N/A</v>
      </c>
    </row>
    <row r="411" spans="1:2">
      <c r="A411" s="22" t="e">
        <f>IF(ISNUMBER('Bets'!N407),406,NA())</f>
        <v>#N/A</v>
      </c>
      <c r="B411" s="20" t="e">
        <f>IF(ISNUMBER('Bets'!N407),'Bets'!N407,NA())</f>
        <v>#N/A</v>
      </c>
    </row>
    <row r="412" spans="1:2">
      <c r="A412" s="22" t="e">
        <f>IF(ISNUMBER('Bets'!N408),407,NA())</f>
        <v>#N/A</v>
      </c>
      <c r="B412" s="20" t="e">
        <f>IF(ISNUMBER('Bets'!N408),'Bets'!N408,NA())</f>
        <v>#N/A</v>
      </c>
    </row>
    <row r="413" spans="1:2">
      <c r="A413" s="22" t="e">
        <f>IF(ISNUMBER('Bets'!N409),408,NA())</f>
        <v>#N/A</v>
      </c>
      <c r="B413" s="20" t="e">
        <f>IF(ISNUMBER('Bets'!N409),'Bets'!N409,NA())</f>
        <v>#N/A</v>
      </c>
    </row>
    <row r="414" spans="1:2">
      <c r="A414" s="22" t="e">
        <f>IF(ISNUMBER('Bets'!N410),409,NA())</f>
        <v>#N/A</v>
      </c>
      <c r="B414" s="20" t="e">
        <f>IF(ISNUMBER('Bets'!N410),'Bets'!N410,NA())</f>
        <v>#N/A</v>
      </c>
    </row>
    <row r="415" spans="1:2">
      <c r="A415" s="22" t="e">
        <f>IF(ISNUMBER('Bets'!N411),410,NA())</f>
        <v>#N/A</v>
      </c>
      <c r="B415" s="20" t="e">
        <f>IF(ISNUMBER('Bets'!N411),'Bets'!N411,NA())</f>
        <v>#N/A</v>
      </c>
    </row>
    <row r="416" spans="1:2">
      <c r="A416" s="22" t="e">
        <f>IF(ISNUMBER('Bets'!N412),411,NA())</f>
        <v>#N/A</v>
      </c>
      <c r="B416" s="20" t="e">
        <f>IF(ISNUMBER('Bets'!N412),'Bets'!N412,NA())</f>
        <v>#N/A</v>
      </c>
    </row>
    <row r="417" spans="1:2">
      <c r="A417" s="22" t="e">
        <f>IF(ISNUMBER('Bets'!N413),412,NA())</f>
        <v>#N/A</v>
      </c>
      <c r="B417" s="20" t="e">
        <f>IF(ISNUMBER('Bets'!N413),'Bets'!N413,NA())</f>
        <v>#N/A</v>
      </c>
    </row>
    <row r="418" spans="1:2">
      <c r="A418" s="22" t="e">
        <f>IF(ISNUMBER('Bets'!N414),413,NA())</f>
        <v>#N/A</v>
      </c>
      <c r="B418" s="20" t="e">
        <f>IF(ISNUMBER('Bets'!N414),'Bets'!N414,NA())</f>
        <v>#N/A</v>
      </c>
    </row>
    <row r="419" spans="1:2">
      <c r="A419" s="22" t="e">
        <f>IF(ISNUMBER('Bets'!N415),414,NA())</f>
        <v>#N/A</v>
      </c>
      <c r="B419" s="20" t="e">
        <f>IF(ISNUMBER('Bets'!N415),'Bets'!N415,NA())</f>
        <v>#N/A</v>
      </c>
    </row>
    <row r="420" spans="1:2">
      <c r="A420" s="22" t="e">
        <f>IF(ISNUMBER('Bets'!N416),415,NA())</f>
        <v>#N/A</v>
      </c>
      <c r="B420" s="20" t="e">
        <f>IF(ISNUMBER('Bets'!N416),'Bets'!N416,NA())</f>
        <v>#N/A</v>
      </c>
    </row>
    <row r="421" spans="1:2">
      <c r="A421" s="22" t="e">
        <f>IF(ISNUMBER('Bets'!N417),416,NA())</f>
        <v>#N/A</v>
      </c>
      <c r="B421" s="20" t="e">
        <f>IF(ISNUMBER('Bets'!N417),'Bets'!N417,NA())</f>
        <v>#N/A</v>
      </c>
    </row>
    <row r="422" spans="1:2">
      <c r="A422" s="22" t="e">
        <f>IF(ISNUMBER('Bets'!N418),417,NA())</f>
        <v>#N/A</v>
      </c>
      <c r="B422" s="20" t="e">
        <f>IF(ISNUMBER('Bets'!N418),'Bets'!N418,NA())</f>
        <v>#N/A</v>
      </c>
    </row>
    <row r="423" spans="1:2">
      <c r="A423" s="22" t="e">
        <f>IF(ISNUMBER('Bets'!N419),418,NA())</f>
        <v>#N/A</v>
      </c>
      <c r="B423" s="20" t="e">
        <f>IF(ISNUMBER('Bets'!N419),'Bets'!N419,NA())</f>
        <v>#N/A</v>
      </c>
    </row>
    <row r="424" spans="1:2">
      <c r="A424" s="22" t="e">
        <f>IF(ISNUMBER('Bets'!N420),419,NA())</f>
        <v>#N/A</v>
      </c>
      <c r="B424" s="20" t="e">
        <f>IF(ISNUMBER('Bets'!N420),'Bets'!N420,NA())</f>
        <v>#N/A</v>
      </c>
    </row>
    <row r="425" spans="1:2">
      <c r="A425" s="22" t="e">
        <f>IF(ISNUMBER('Bets'!N421),420,NA())</f>
        <v>#N/A</v>
      </c>
      <c r="B425" s="20" t="e">
        <f>IF(ISNUMBER('Bets'!N421),'Bets'!N421,NA())</f>
        <v>#N/A</v>
      </c>
    </row>
    <row r="426" spans="1:2">
      <c r="A426" s="22" t="e">
        <f>IF(ISNUMBER('Bets'!N422),421,NA())</f>
        <v>#N/A</v>
      </c>
      <c r="B426" s="20" t="e">
        <f>IF(ISNUMBER('Bets'!N422),'Bets'!N422,NA())</f>
        <v>#N/A</v>
      </c>
    </row>
    <row r="427" spans="1:2">
      <c r="A427" s="22" t="e">
        <f>IF(ISNUMBER('Bets'!N423),422,NA())</f>
        <v>#N/A</v>
      </c>
      <c r="B427" s="20" t="e">
        <f>IF(ISNUMBER('Bets'!N423),'Bets'!N423,NA())</f>
        <v>#N/A</v>
      </c>
    </row>
    <row r="428" spans="1:2">
      <c r="A428" s="22" t="e">
        <f>IF(ISNUMBER('Bets'!N424),423,NA())</f>
        <v>#N/A</v>
      </c>
      <c r="B428" s="20" t="e">
        <f>IF(ISNUMBER('Bets'!N424),'Bets'!N424,NA())</f>
        <v>#N/A</v>
      </c>
    </row>
    <row r="429" spans="1:2">
      <c r="A429" s="22" t="e">
        <f>IF(ISNUMBER('Bets'!N425),424,NA())</f>
        <v>#N/A</v>
      </c>
      <c r="B429" s="20" t="e">
        <f>IF(ISNUMBER('Bets'!N425),'Bets'!N425,NA())</f>
        <v>#N/A</v>
      </c>
    </row>
    <row r="430" spans="1:2">
      <c r="A430" s="22" t="e">
        <f>IF(ISNUMBER('Bets'!N426),425,NA())</f>
        <v>#N/A</v>
      </c>
      <c r="B430" s="20" t="e">
        <f>IF(ISNUMBER('Bets'!N426),'Bets'!N426,NA())</f>
        <v>#N/A</v>
      </c>
    </row>
    <row r="431" spans="1:2">
      <c r="A431" s="22" t="e">
        <f>IF(ISNUMBER('Bets'!N427),426,NA())</f>
        <v>#N/A</v>
      </c>
      <c r="B431" s="20" t="e">
        <f>IF(ISNUMBER('Bets'!N427),'Bets'!N427,NA())</f>
        <v>#N/A</v>
      </c>
    </row>
    <row r="432" spans="1:2">
      <c r="A432" s="22" t="e">
        <f>IF(ISNUMBER('Bets'!N428),427,NA())</f>
        <v>#N/A</v>
      </c>
      <c r="B432" s="20" t="e">
        <f>IF(ISNUMBER('Bets'!N428),'Bets'!N428,NA())</f>
        <v>#N/A</v>
      </c>
    </row>
    <row r="433" spans="1:2">
      <c r="A433" s="22" t="e">
        <f>IF(ISNUMBER('Bets'!N429),428,NA())</f>
        <v>#N/A</v>
      </c>
      <c r="B433" s="20" t="e">
        <f>IF(ISNUMBER('Bets'!N429),'Bets'!N429,NA())</f>
        <v>#N/A</v>
      </c>
    </row>
    <row r="434" spans="1:2">
      <c r="A434" s="22" t="e">
        <f>IF(ISNUMBER('Bets'!N430),429,NA())</f>
        <v>#N/A</v>
      </c>
      <c r="B434" s="20" t="e">
        <f>IF(ISNUMBER('Bets'!N430),'Bets'!N430,NA())</f>
        <v>#N/A</v>
      </c>
    </row>
    <row r="435" spans="1:2">
      <c r="A435" s="22" t="e">
        <f>IF(ISNUMBER('Bets'!N431),430,NA())</f>
        <v>#N/A</v>
      </c>
      <c r="B435" s="20" t="e">
        <f>IF(ISNUMBER('Bets'!N431),'Bets'!N431,NA())</f>
        <v>#N/A</v>
      </c>
    </row>
    <row r="436" spans="1:2">
      <c r="A436" s="22" t="e">
        <f>IF(ISNUMBER('Bets'!N432),431,NA())</f>
        <v>#N/A</v>
      </c>
      <c r="B436" s="20" t="e">
        <f>IF(ISNUMBER('Bets'!N432),'Bets'!N432,NA())</f>
        <v>#N/A</v>
      </c>
    </row>
    <row r="437" spans="1:2">
      <c r="A437" s="22" t="e">
        <f>IF(ISNUMBER('Bets'!N433),432,NA())</f>
        <v>#N/A</v>
      </c>
      <c r="B437" s="20" t="e">
        <f>IF(ISNUMBER('Bets'!N433),'Bets'!N433,NA())</f>
        <v>#N/A</v>
      </c>
    </row>
    <row r="438" spans="1:2">
      <c r="A438" s="22" t="e">
        <f>IF(ISNUMBER('Bets'!N434),433,NA())</f>
        <v>#N/A</v>
      </c>
      <c r="B438" s="20" t="e">
        <f>IF(ISNUMBER('Bets'!N434),'Bets'!N434,NA())</f>
        <v>#N/A</v>
      </c>
    </row>
    <row r="439" spans="1:2">
      <c r="A439" s="22" t="e">
        <f>IF(ISNUMBER('Bets'!N435),434,NA())</f>
        <v>#N/A</v>
      </c>
      <c r="B439" s="20" t="e">
        <f>IF(ISNUMBER('Bets'!N435),'Bets'!N435,NA())</f>
        <v>#N/A</v>
      </c>
    </row>
    <row r="440" spans="1:2">
      <c r="A440" s="22" t="e">
        <f>IF(ISNUMBER('Bets'!N436),435,NA())</f>
        <v>#N/A</v>
      </c>
      <c r="B440" s="20" t="e">
        <f>IF(ISNUMBER('Bets'!N436),'Bets'!N436,NA())</f>
        <v>#N/A</v>
      </c>
    </row>
    <row r="441" spans="1:2">
      <c r="A441" s="22" t="e">
        <f>IF(ISNUMBER('Bets'!N437),436,NA())</f>
        <v>#N/A</v>
      </c>
      <c r="B441" s="20" t="e">
        <f>IF(ISNUMBER('Bets'!N437),'Bets'!N437,NA())</f>
        <v>#N/A</v>
      </c>
    </row>
    <row r="442" spans="1:2">
      <c r="A442" s="22" t="e">
        <f>IF(ISNUMBER('Bets'!N438),437,NA())</f>
        <v>#N/A</v>
      </c>
      <c r="B442" s="20" t="e">
        <f>IF(ISNUMBER('Bets'!N438),'Bets'!N438,NA())</f>
        <v>#N/A</v>
      </c>
    </row>
    <row r="443" spans="1:2">
      <c r="A443" s="22" t="e">
        <f>IF(ISNUMBER('Bets'!N439),438,NA())</f>
        <v>#N/A</v>
      </c>
      <c r="B443" s="20" t="e">
        <f>IF(ISNUMBER('Bets'!N439),'Bets'!N439,NA())</f>
        <v>#N/A</v>
      </c>
    </row>
    <row r="444" spans="1:2">
      <c r="A444" s="22" t="e">
        <f>IF(ISNUMBER('Bets'!N440),439,NA())</f>
        <v>#N/A</v>
      </c>
      <c r="B444" s="20" t="e">
        <f>IF(ISNUMBER('Bets'!N440),'Bets'!N440,NA())</f>
        <v>#N/A</v>
      </c>
    </row>
    <row r="445" spans="1:2">
      <c r="A445" s="22" t="e">
        <f>IF(ISNUMBER('Bets'!N441),440,NA())</f>
        <v>#N/A</v>
      </c>
      <c r="B445" s="20" t="e">
        <f>IF(ISNUMBER('Bets'!N441),'Bets'!N441,NA())</f>
        <v>#N/A</v>
      </c>
    </row>
    <row r="446" spans="1:2">
      <c r="A446" s="22" t="e">
        <f>IF(ISNUMBER('Bets'!N442),441,NA())</f>
        <v>#N/A</v>
      </c>
      <c r="B446" s="20" t="e">
        <f>IF(ISNUMBER('Bets'!N442),'Bets'!N442,NA())</f>
        <v>#N/A</v>
      </c>
    </row>
    <row r="447" spans="1:2">
      <c r="A447" s="22" t="e">
        <f>IF(ISNUMBER('Bets'!N443),442,NA())</f>
        <v>#N/A</v>
      </c>
      <c r="B447" s="20" t="e">
        <f>IF(ISNUMBER('Bets'!N443),'Bets'!N443,NA())</f>
        <v>#N/A</v>
      </c>
    </row>
    <row r="448" spans="1:2">
      <c r="A448" s="22" t="e">
        <f>IF(ISNUMBER('Bets'!N444),443,NA())</f>
        <v>#N/A</v>
      </c>
      <c r="B448" s="20" t="e">
        <f>IF(ISNUMBER('Bets'!N444),'Bets'!N444,NA())</f>
        <v>#N/A</v>
      </c>
    </row>
    <row r="449" spans="1:2">
      <c r="A449" s="22" t="e">
        <f>IF(ISNUMBER('Bets'!N445),444,NA())</f>
        <v>#N/A</v>
      </c>
      <c r="B449" s="20" t="e">
        <f>IF(ISNUMBER('Bets'!N445),'Bets'!N445,NA())</f>
        <v>#N/A</v>
      </c>
    </row>
    <row r="450" spans="1:2">
      <c r="A450" s="22" t="e">
        <f>IF(ISNUMBER('Bets'!N446),445,NA())</f>
        <v>#N/A</v>
      </c>
      <c r="B450" s="20" t="e">
        <f>IF(ISNUMBER('Bets'!N446),'Bets'!N446,NA())</f>
        <v>#N/A</v>
      </c>
    </row>
    <row r="451" spans="1:2">
      <c r="A451" s="22" t="e">
        <f>IF(ISNUMBER('Bets'!N447),446,NA())</f>
        <v>#N/A</v>
      </c>
      <c r="B451" s="20" t="e">
        <f>IF(ISNUMBER('Bets'!N447),'Bets'!N447,NA())</f>
        <v>#N/A</v>
      </c>
    </row>
    <row r="452" spans="1:2">
      <c r="A452" s="22" t="e">
        <f>IF(ISNUMBER('Bets'!N448),447,NA())</f>
        <v>#N/A</v>
      </c>
      <c r="B452" s="20" t="e">
        <f>IF(ISNUMBER('Bets'!N448),'Bets'!N448,NA())</f>
        <v>#N/A</v>
      </c>
    </row>
    <row r="453" spans="1:2">
      <c r="A453" s="22" t="e">
        <f>IF(ISNUMBER('Bets'!N449),448,NA())</f>
        <v>#N/A</v>
      </c>
      <c r="B453" s="20" t="e">
        <f>IF(ISNUMBER('Bets'!N449),'Bets'!N449,NA())</f>
        <v>#N/A</v>
      </c>
    </row>
    <row r="454" spans="1:2">
      <c r="A454" s="22" t="e">
        <f>IF(ISNUMBER('Bets'!N450),449,NA())</f>
        <v>#N/A</v>
      </c>
      <c r="B454" s="20" t="e">
        <f>IF(ISNUMBER('Bets'!N450),'Bets'!N450,NA())</f>
        <v>#N/A</v>
      </c>
    </row>
    <row r="455" spans="1:2">
      <c r="A455" s="22" t="e">
        <f>IF(ISNUMBER('Bets'!N451),450,NA())</f>
        <v>#N/A</v>
      </c>
      <c r="B455" s="20" t="e">
        <f>IF(ISNUMBER('Bets'!N451),'Bets'!N451,NA())</f>
        <v>#N/A</v>
      </c>
    </row>
    <row r="456" spans="1:2">
      <c r="A456" s="22" t="e">
        <f>IF(ISNUMBER('Bets'!N452),451,NA())</f>
        <v>#N/A</v>
      </c>
      <c r="B456" s="20" t="e">
        <f>IF(ISNUMBER('Bets'!N452),'Bets'!N452,NA())</f>
        <v>#N/A</v>
      </c>
    </row>
    <row r="457" spans="1:2">
      <c r="A457" s="22" t="e">
        <f>IF(ISNUMBER('Bets'!N453),452,NA())</f>
        <v>#N/A</v>
      </c>
      <c r="B457" s="20" t="e">
        <f>IF(ISNUMBER('Bets'!N453),'Bets'!N453,NA())</f>
        <v>#N/A</v>
      </c>
    </row>
    <row r="458" spans="1:2">
      <c r="A458" s="22" t="e">
        <f>IF(ISNUMBER('Bets'!N454),453,NA())</f>
        <v>#N/A</v>
      </c>
      <c r="B458" s="20" t="e">
        <f>IF(ISNUMBER('Bets'!N454),'Bets'!N454,NA())</f>
        <v>#N/A</v>
      </c>
    </row>
    <row r="459" spans="1:2">
      <c r="A459" s="22" t="e">
        <f>IF(ISNUMBER('Bets'!N455),454,NA())</f>
        <v>#N/A</v>
      </c>
      <c r="B459" s="20" t="e">
        <f>IF(ISNUMBER('Bets'!N455),'Bets'!N455,NA())</f>
        <v>#N/A</v>
      </c>
    </row>
    <row r="460" spans="1:2">
      <c r="A460" s="22" t="e">
        <f>IF(ISNUMBER('Bets'!N456),455,NA())</f>
        <v>#N/A</v>
      </c>
      <c r="B460" s="20" t="e">
        <f>IF(ISNUMBER('Bets'!N456),'Bets'!N456,NA())</f>
        <v>#N/A</v>
      </c>
    </row>
    <row r="461" spans="1:2">
      <c r="A461" s="22" t="e">
        <f>IF(ISNUMBER('Bets'!N457),456,NA())</f>
        <v>#N/A</v>
      </c>
      <c r="B461" s="20" t="e">
        <f>IF(ISNUMBER('Bets'!N457),'Bets'!N457,NA())</f>
        <v>#N/A</v>
      </c>
    </row>
    <row r="462" spans="1:2">
      <c r="A462" s="22" t="e">
        <f>IF(ISNUMBER('Bets'!N458),457,NA())</f>
        <v>#N/A</v>
      </c>
      <c r="B462" s="20" t="e">
        <f>IF(ISNUMBER('Bets'!N458),'Bets'!N458,NA())</f>
        <v>#N/A</v>
      </c>
    </row>
    <row r="463" spans="1:2">
      <c r="A463" s="22" t="e">
        <f>IF(ISNUMBER('Bets'!N459),458,NA())</f>
        <v>#N/A</v>
      </c>
      <c r="B463" s="20" t="e">
        <f>IF(ISNUMBER('Bets'!N459),'Bets'!N459,NA())</f>
        <v>#N/A</v>
      </c>
    </row>
    <row r="464" spans="1:2">
      <c r="A464" s="22" t="e">
        <f>IF(ISNUMBER('Bets'!N460),459,NA())</f>
        <v>#N/A</v>
      </c>
      <c r="B464" s="20" t="e">
        <f>IF(ISNUMBER('Bets'!N460),'Bets'!N460,NA())</f>
        <v>#N/A</v>
      </c>
    </row>
    <row r="465" spans="1:2">
      <c r="A465" s="22" t="e">
        <f>IF(ISNUMBER('Bets'!N461),460,NA())</f>
        <v>#N/A</v>
      </c>
      <c r="B465" s="20" t="e">
        <f>IF(ISNUMBER('Bets'!N461),'Bets'!N461,NA())</f>
        <v>#N/A</v>
      </c>
    </row>
    <row r="466" spans="1:2">
      <c r="A466" s="22" t="e">
        <f>IF(ISNUMBER('Bets'!N462),461,NA())</f>
        <v>#N/A</v>
      </c>
      <c r="B466" s="20" t="e">
        <f>IF(ISNUMBER('Bets'!N462),'Bets'!N462,NA())</f>
        <v>#N/A</v>
      </c>
    </row>
    <row r="467" spans="1:2">
      <c r="A467" s="22" t="e">
        <f>IF(ISNUMBER('Bets'!N463),462,NA())</f>
        <v>#N/A</v>
      </c>
      <c r="B467" s="20" t="e">
        <f>IF(ISNUMBER('Bets'!N463),'Bets'!N463,NA())</f>
        <v>#N/A</v>
      </c>
    </row>
    <row r="468" spans="1:2">
      <c r="A468" s="22" t="e">
        <f>IF(ISNUMBER('Bets'!N464),463,NA())</f>
        <v>#N/A</v>
      </c>
      <c r="B468" s="20" t="e">
        <f>IF(ISNUMBER('Bets'!N464),'Bets'!N464,NA())</f>
        <v>#N/A</v>
      </c>
    </row>
    <row r="469" spans="1:2">
      <c r="A469" s="22" t="e">
        <f>IF(ISNUMBER('Bets'!N465),464,NA())</f>
        <v>#N/A</v>
      </c>
      <c r="B469" s="20" t="e">
        <f>IF(ISNUMBER('Bets'!N465),'Bets'!N465,NA())</f>
        <v>#N/A</v>
      </c>
    </row>
    <row r="470" spans="1:2">
      <c r="A470" s="22" t="e">
        <f>IF(ISNUMBER('Bets'!N466),465,NA())</f>
        <v>#N/A</v>
      </c>
      <c r="B470" s="20" t="e">
        <f>IF(ISNUMBER('Bets'!N466),'Bets'!N466,NA())</f>
        <v>#N/A</v>
      </c>
    </row>
    <row r="471" spans="1:2">
      <c r="A471" s="22" t="e">
        <f>IF(ISNUMBER('Bets'!N467),466,NA())</f>
        <v>#N/A</v>
      </c>
      <c r="B471" s="20" t="e">
        <f>IF(ISNUMBER('Bets'!N467),'Bets'!N467,NA())</f>
        <v>#N/A</v>
      </c>
    </row>
    <row r="472" spans="1:2">
      <c r="A472" s="22" t="e">
        <f>IF(ISNUMBER('Bets'!N468),467,NA())</f>
        <v>#N/A</v>
      </c>
      <c r="B472" s="20" t="e">
        <f>IF(ISNUMBER('Bets'!N468),'Bets'!N468,NA())</f>
        <v>#N/A</v>
      </c>
    </row>
    <row r="473" spans="1:2">
      <c r="A473" s="22" t="e">
        <f>IF(ISNUMBER('Bets'!N469),468,NA())</f>
        <v>#N/A</v>
      </c>
      <c r="B473" s="20" t="e">
        <f>IF(ISNUMBER('Bets'!N469),'Bets'!N469,NA())</f>
        <v>#N/A</v>
      </c>
    </row>
    <row r="474" spans="1:2">
      <c r="A474" s="22" t="e">
        <f>IF(ISNUMBER('Bets'!N470),469,NA())</f>
        <v>#N/A</v>
      </c>
      <c r="B474" s="20" t="e">
        <f>IF(ISNUMBER('Bets'!N470),'Bets'!N470,NA())</f>
        <v>#N/A</v>
      </c>
    </row>
    <row r="475" spans="1:2">
      <c r="A475" s="22" t="e">
        <f>IF(ISNUMBER('Bets'!N471),470,NA())</f>
        <v>#N/A</v>
      </c>
      <c r="B475" s="20" t="e">
        <f>IF(ISNUMBER('Bets'!N471),'Bets'!N471,NA())</f>
        <v>#N/A</v>
      </c>
    </row>
    <row r="476" spans="1:2">
      <c r="A476" s="22" t="e">
        <f>IF(ISNUMBER('Bets'!N472),471,NA())</f>
        <v>#N/A</v>
      </c>
      <c r="B476" s="20" t="e">
        <f>IF(ISNUMBER('Bets'!N472),'Bets'!N472,NA())</f>
        <v>#N/A</v>
      </c>
    </row>
    <row r="477" spans="1:2">
      <c r="A477" s="22" t="e">
        <f>IF(ISNUMBER('Bets'!N473),472,NA())</f>
        <v>#N/A</v>
      </c>
      <c r="B477" s="20" t="e">
        <f>IF(ISNUMBER('Bets'!N473),'Bets'!N473,NA())</f>
        <v>#N/A</v>
      </c>
    </row>
    <row r="478" spans="1:2">
      <c r="A478" s="22" t="e">
        <f>IF(ISNUMBER('Bets'!N474),473,NA())</f>
        <v>#N/A</v>
      </c>
      <c r="B478" s="20" t="e">
        <f>IF(ISNUMBER('Bets'!N474),'Bets'!N474,NA())</f>
        <v>#N/A</v>
      </c>
    </row>
    <row r="479" spans="1:2">
      <c r="A479" s="22" t="e">
        <f>IF(ISNUMBER('Bets'!N475),474,NA())</f>
        <v>#N/A</v>
      </c>
      <c r="B479" s="20" t="e">
        <f>IF(ISNUMBER('Bets'!N475),'Bets'!N475,NA())</f>
        <v>#N/A</v>
      </c>
    </row>
    <row r="480" spans="1:2">
      <c r="A480" s="22" t="e">
        <f>IF(ISNUMBER('Bets'!N476),475,NA())</f>
        <v>#N/A</v>
      </c>
      <c r="B480" s="20" t="e">
        <f>IF(ISNUMBER('Bets'!N476),'Bets'!N476,NA())</f>
        <v>#N/A</v>
      </c>
    </row>
    <row r="481" spans="1:2">
      <c r="A481" s="22" t="e">
        <f>IF(ISNUMBER('Bets'!N477),476,NA())</f>
        <v>#N/A</v>
      </c>
      <c r="B481" s="20" t="e">
        <f>IF(ISNUMBER('Bets'!N477),'Bets'!N477,NA())</f>
        <v>#N/A</v>
      </c>
    </row>
    <row r="482" spans="1:2">
      <c r="A482" s="22" t="e">
        <f>IF(ISNUMBER('Bets'!N478),477,NA())</f>
        <v>#N/A</v>
      </c>
      <c r="B482" s="20" t="e">
        <f>IF(ISNUMBER('Bets'!N478),'Bets'!N478,NA())</f>
        <v>#N/A</v>
      </c>
    </row>
    <row r="483" spans="1:2">
      <c r="A483" s="22" t="e">
        <f>IF(ISNUMBER('Bets'!N479),478,NA())</f>
        <v>#N/A</v>
      </c>
      <c r="B483" s="20" t="e">
        <f>IF(ISNUMBER('Bets'!N479),'Bets'!N479,NA())</f>
        <v>#N/A</v>
      </c>
    </row>
    <row r="484" spans="1:2">
      <c r="A484" s="22" t="e">
        <f>IF(ISNUMBER('Bets'!N480),479,NA())</f>
        <v>#N/A</v>
      </c>
      <c r="B484" s="20" t="e">
        <f>IF(ISNUMBER('Bets'!N480),'Bets'!N480,NA())</f>
        <v>#N/A</v>
      </c>
    </row>
    <row r="485" spans="1:2">
      <c r="A485" s="22" t="e">
        <f>IF(ISNUMBER('Bets'!N481),480,NA())</f>
        <v>#N/A</v>
      </c>
      <c r="B485" s="20" t="e">
        <f>IF(ISNUMBER('Bets'!N481),'Bets'!N481,NA())</f>
        <v>#N/A</v>
      </c>
    </row>
    <row r="486" spans="1:2">
      <c r="A486" s="22" t="e">
        <f>IF(ISNUMBER('Bets'!N482),481,NA())</f>
        <v>#N/A</v>
      </c>
      <c r="B486" s="20" t="e">
        <f>IF(ISNUMBER('Bets'!N482),'Bets'!N482,NA())</f>
        <v>#N/A</v>
      </c>
    </row>
    <row r="487" spans="1:2">
      <c r="A487" s="22" t="e">
        <f>IF(ISNUMBER('Bets'!N483),482,NA())</f>
        <v>#N/A</v>
      </c>
      <c r="B487" s="20" t="e">
        <f>IF(ISNUMBER('Bets'!N483),'Bets'!N483,NA())</f>
        <v>#N/A</v>
      </c>
    </row>
    <row r="488" spans="1:2">
      <c r="A488" s="22" t="e">
        <f>IF(ISNUMBER('Bets'!N484),483,NA())</f>
        <v>#N/A</v>
      </c>
      <c r="B488" s="20" t="e">
        <f>IF(ISNUMBER('Bets'!N484),'Bets'!N484,NA())</f>
        <v>#N/A</v>
      </c>
    </row>
    <row r="489" spans="1:2">
      <c r="A489" s="22" t="e">
        <f>IF(ISNUMBER('Bets'!N485),484,NA())</f>
        <v>#N/A</v>
      </c>
      <c r="B489" s="20" t="e">
        <f>IF(ISNUMBER('Bets'!N485),'Bets'!N485,NA())</f>
        <v>#N/A</v>
      </c>
    </row>
    <row r="490" spans="1:2">
      <c r="A490" s="22" t="e">
        <f>IF(ISNUMBER('Bets'!N486),485,NA())</f>
        <v>#N/A</v>
      </c>
      <c r="B490" s="20" t="e">
        <f>IF(ISNUMBER('Bets'!N486),'Bets'!N486,NA())</f>
        <v>#N/A</v>
      </c>
    </row>
    <row r="491" spans="1:2">
      <c r="A491" s="22" t="e">
        <f>IF(ISNUMBER('Bets'!N487),486,NA())</f>
        <v>#N/A</v>
      </c>
      <c r="B491" s="20" t="e">
        <f>IF(ISNUMBER('Bets'!N487),'Bets'!N487,NA())</f>
        <v>#N/A</v>
      </c>
    </row>
    <row r="492" spans="1:2">
      <c r="A492" s="22" t="e">
        <f>IF(ISNUMBER('Bets'!N488),487,NA())</f>
        <v>#N/A</v>
      </c>
      <c r="B492" s="20" t="e">
        <f>IF(ISNUMBER('Bets'!N488),'Bets'!N488,NA())</f>
        <v>#N/A</v>
      </c>
    </row>
    <row r="493" spans="1:2">
      <c r="A493" s="22" t="e">
        <f>IF(ISNUMBER('Bets'!N489),488,NA())</f>
        <v>#N/A</v>
      </c>
      <c r="B493" s="20" t="e">
        <f>IF(ISNUMBER('Bets'!N489),'Bets'!N489,NA())</f>
        <v>#N/A</v>
      </c>
    </row>
    <row r="494" spans="1:2">
      <c r="A494" s="22" t="e">
        <f>IF(ISNUMBER('Bets'!N490),489,NA())</f>
        <v>#N/A</v>
      </c>
      <c r="B494" s="20" t="e">
        <f>IF(ISNUMBER('Bets'!N490),'Bets'!N490,NA())</f>
        <v>#N/A</v>
      </c>
    </row>
    <row r="495" spans="1:2">
      <c r="A495" s="22" t="e">
        <f>IF(ISNUMBER('Bets'!N491),490,NA())</f>
        <v>#N/A</v>
      </c>
      <c r="B495" s="20" t="e">
        <f>IF(ISNUMBER('Bets'!N491),'Bets'!N491,NA())</f>
        <v>#N/A</v>
      </c>
    </row>
    <row r="496" spans="1:2">
      <c r="A496" s="22" t="e">
        <f>IF(ISNUMBER('Bets'!N492),491,NA())</f>
        <v>#N/A</v>
      </c>
      <c r="B496" s="20" t="e">
        <f>IF(ISNUMBER('Bets'!N492),'Bets'!N492,NA())</f>
        <v>#N/A</v>
      </c>
    </row>
    <row r="497" spans="1:2">
      <c r="A497" s="22" t="e">
        <f>IF(ISNUMBER('Bets'!N493),492,NA())</f>
        <v>#N/A</v>
      </c>
      <c r="B497" s="20" t="e">
        <f>IF(ISNUMBER('Bets'!N493),'Bets'!N493,NA())</f>
        <v>#N/A</v>
      </c>
    </row>
    <row r="498" spans="1:2">
      <c r="A498" s="22" t="e">
        <f>IF(ISNUMBER('Bets'!N494),493,NA())</f>
        <v>#N/A</v>
      </c>
      <c r="B498" s="20" t="e">
        <f>IF(ISNUMBER('Bets'!N494),'Bets'!N494,NA())</f>
        <v>#N/A</v>
      </c>
    </row>
    <row r="499" spans="1:2">
      <c r="A499" s="22" t="e">
        <f>IF(ISNUMBER('Bets'!N495),494,NA())</f>
        <v>#N/A</v>
      </c>
      <c r="B499" s="20" t="e">
        <f>IF(ISNUMBER('Bets'!N495),'Bets'!N495,NA())</f>
        <v>#N/A</v>
      </c>
    </row>
    <row r="500" spans="1:2">
      <c r="A500" s="22" t="e">
        <f>IF(ISNUMBER('Bets'!N496),495,NA())</f>
        <v>#N/A</v>
      </c>
      <c r="B500" s="20" t="e">
        <f>IF(ISNUMBER('Bets'!N496),'Bets'!N496,NA())</f>
        <v>#N/A</v>
      </c>
    </row>
    <row r="501" spans="1:2">
      <c r="A501" s="22" t="e">
        <f>IF(ISNUMBER('Bets'!N497),496,NA())</f>
        <v>#N/A</v>
      </c>
      <c r="B501" s="20" t="e">
        <f>IF(ISNUMBER('Bets'!N497),'Bets'!N497,NA())</f>
        <v>#N/A</v>
      </c>
    </row>
    <row r="502" spans="1:2">
      <c r="A502" s="22" t="e">
        <f>IF(ISNUMBER('Bets'!N498),497,NA())</f>
        <v>#N/A</v>
      </c>
      <c r="B502" s="20" t="e">
        <f>IF(ISNUMBER('Bets'!N498),'Bets'!N498,NA())</f>
        <v>#N/A</v>
      </c>
    </row>
    <row r="503" spans="1:2">
      <c r="A503" s="22" t="e">
        <f>IF(ISNUMBER('Bets'!N499),498,NA())</f>
        <v>#N/A</v>
      </c>
      <c r="B503" s="20" t="e">
        <f>IF(ISNUMBER('Bets'!N499),'Bets'!N499,NA())</f>
        <v>#N/A</v>
      </c>
    </row>
    <row r="504" spans="1:2">
      <c r="A504" s="22" t="e">
        <f>IF(ISNUMBER('Bets'!N500),499,NA())</f>
        <v>#N/A</v>
      </c>
      <c r="B504" s="20" t="e">
        <f>IF(ISNUMBER('Bets'!N500),'Bets'!N500,NA())</f>
        <v>#N/A</v>
      </c>
    </row>
    <row r="505" spans="1:2">
      <c r="A505" s="22" t="e">
        <f>IF(ISNUMBER('Bets'!N501),500,NA())</f>
        <v>#N/A</v>
      </c>
      <c r="B505" s="20" t="e">
        <f>IF(ISNUMBER('Bets'!N501),'Bets'!N501,NA())</f>
        <v>#N/A</v>
      </c>
    </row>
    <row r="506" spans="1:2">
      <c r="A506" s="22" t="e">
        <f>IF(ISNUMBER('Bets'!N502),501,NA())</f>
        <v>#N/A</v>
      </c>
      <c r="B506" s="20" t="e">
        <f>IF(ISNUMBER('Bets'!N502),'Bets'!N502,NA())</f>
        <v>#N/A</v>
      </c>
    </row>
    <row r="507" spans="1:2">
      <c r="A507" s="22" t="e">
        <f>IF(ISNUMBER('Bets'!N503),502,NA())</f>
        <v>#N/A</v>
      </c>
      <c r="B507" s="20" t="e">
        <f>IF(ISNUMBER('Bets'!N503),'Bets'!N503,NA())</f>
        <v>#N/A</v>
      </c>
    </row>
    <row r="508" spans="1:2">
      <c r="A508" s="22" t="e">
        <f>IF(ISNUMBER('Bets'!N504),503,NA())</f>
        <v>#N/A</v>
      </c>
      <c r="B508" s="20" t="e">
        <f>IF(ISNUMBER('Bets'!N504),'Bets'!N504,NA())</f>
        <v>#N/A</v>
      </c>
    </row>
    <row r="509" spans="1:2">
      <c r="A509" s="22" t="e">
        <f>IF(ISNUMBER('Bets'!N505),504,NA())</f>
        <v>#N/A</v>
      </c>
      <c r="B509" s="20" t="e">
        <f>IF(ISNUMBER('Bets'!N505),'Bets'!N505,NA())</f>
        <v>#N/A</v>
      </c>
    </row>
    <row r="510" spans="1:2">
      <c r="A510" s="22" t="e">
        <f>IF(ISNUMBER('Bets'!N506),505,NA())</f>
        <v>#N/A</v>
      </c>
      <c r="B510" s="20" t="e">
        <f>IF(ISNUMBER('Bets'!N506),'Bets'!N506,NA())</f>
        <v>#N/A</v>
      </c>
    </row>
    <row r="511" spans="1:2">
      <c r="A511" s="22" t="e">
        <f>IF(ISNUMBER('Bets'!N507),506,NA())</f>
        <v>#N/A</v>
      </c>
      <c r="B511" s="20" t="e">
        <f>IF(ISNUMBER('Bets'!N507),'Bets'!N507,NA())</f>
        <v>#N/A</v>
      </c>
    </row>
    <row r="512" spans="1:2">
      <c r="A512" s="22" t="e">
        <f>IF(ISNUMBER('Bets'!N508),507,NA())</f>
        <v>#N/A</v>
      </c>
      <c r="B512" s="20" t="e">
        <f>IF(ISNUMBER('Bets'!N508),'Bets'!N508,NA())</f>
        <v>#N/A</v>
      </c>
    </row>
    <row r="513" spans="1:2">
      <c r="A513" s="22" t="e">
        <f>IF(ISNUMBER('Bets'!N509),508,NA())</f>
        <v>#N/A</v>
      </c>
      <c r="B513" s="20" t="e">
        <f>IF(ISNUMBER('Bets'!N509),'Bets'!N509,NA())</f>
        <v>#N/A</v>
      </c>
    </row>
    <row r="514" spans="1:2">
      <c r="A514" s="22" t="e">
        <f>IF(ISNUMBER('Bets'!N510),509,NA())</f>
        <v>#N/A</v>
      </c>
      <c r="B514" s="20" t="e">
        <f>IF(ISNUMBER('Bets'!N510),'Bets'!N510,NA())</f>
        <v>#N/A</v>
      </c>
    </row>
    <row r="515" spans="1:2">
      <c r="A515" s="22" t="e">
        <f>IF(ISNUMBER('Bets'!N511),510,NA())</f>
        <v>#N/A</v>
      </c>
      <c r="B515" s="20" t="e">
        <f>IF(ISNUMBER('Bets'!N511),'Bets'!N511,NA())</f>
        <v>#N/A</v>
      </c>
    </row>
    <row r="516" spans="1:2">
      <c r="A516" s="22" t="e">
        <f>IF(ISNUMBER('Bets'!N512),511,NA())</f>
        <v>#N/A</v>
      </c>
      <c r="B516" s="20" t="e">
        <f>IF(ISNUMBER('Bets'!N512),'Bets'!N512,NA())</f>
        <v>#N/A</v>
      </c>
    </row>
    <row r="517" spans="1:2">
      <c r="A517" s="22" t="e">
        <f>IF(ISNUMBER('Bets'!N513),512,NA())</f>
        <v>#N/A</v>
      </c>
      <c r="B517" s="20" t="e">
        <f>IF(ISNUMBER('Bets'!N513),'Bets'!N513,NA())</f>
        <v>#N/A</v>
      </c>
    </row>
    <row r="518" spans="1:2">
      <c r="A518" s="22" t="e">
        <f>IF(ISNUMBER('Bets'!N514),513,NA())</f>
        <v>#N/A</v>
      </c>
      <c r="B518" s="20" t="e">
        <f>IF(ISNUMBER('Bets'!N514),'Bets'!N514,NA())</f>
        <v>#N/A</v>
      </c>
    </row>
    <row r="519" spans="1:2">
      <c r="A519" s="22" t="e">
        <f>IF(ISNUMBER('Bets'!N515),514,NA())</f>
        <v>#N/A</v>
      </c>
      <c r="B519" s="20" t="e">
        <f>IF(ISNUMBER('Bets'!N515),'Bets'!N515,NA())</f>
        <v>#N/A</v>
      </c>
    </row>
    <row r="520" spans="1:2">
      <c r="A520" s="22" t="e">
        <f>IF(ISNUMBER('Bets'!N516),515,NA())</f>
        <v>#N/A</v>
      </c>
      <c r="B520" s="20" t="e">
        <f>IF(ISNUMBER('Bets'!N516),'Bets'!N516,NA())</f>
        <v>#N/A</v>
      </c>
    </row>
    <row r="521" spans="1:2">
      <c r="A521" s="22" t="e">
        <f>IF(ISNUMBER('Bets'!N517),516,NA())</f>
        <v>#N/A</v>
      </c>
      <c r="B521" s="20" t="e">
        <f>IF(ISNUMBER('Bets'!N517),'Bets'!N517,NA())</f>
        <v>#N/A</v>
      </c>
    </row>
    <row r="522" spans="1:2">
      <c r="A522" s="22" t="e">
        <f>IF(ISNUMBER('Bets'!N518),517,NA())</f>
        <v>#N/A</v>
      </c>
      <c r="B522" s="20" t="e">
        <f>IF(ISNUMBER('Bets'!N518),'Bets'!N518,NA())</f>
        <v>#N/A</v>
      </c>
    </row>
    <row r="523" spans="1:2">
      <c r="A523" s="22" t="e">
        <f>IF(ISNUMBER('Bets'!N519),518,NA())</f>
        <v>#N/A</v>
      </c>
      <c r="B523" s="20" t="e">
        <f>IF(ISNUMBER('Bets'!N519),'Bets'!N519,NA())</f>
        <v>#N/A</v>
      </c>
    </row>
    <row r="524" spans="1:2">
      <c r="A524" s="22" t="e">
        <f>IF(ISNUMBER('Bets'!N520),519,NA())</f>
        <v>#N/A</v>
      </c>
      <c r="B524" s="20" t="e">
        <f>IF(ISNUMBER('Bets'!N520),'Bets'!N520,NA())</f>
        <v>#N/A</v>
      </c>
    </row>
    <row r="525" spans="1:2">
      <c r="A525" s="22" t="e">
        <f>IF(ISNUMBER('Bets'!N521),520,NA())</f>
        <v>#N/A</v>
      </c>
      <c r="B525" s="20" t="e">
        <f>IF(ISNUMBER('Bets'!N521),'Bets'!N521,NA())</f>
        <v>#N/A</v>
      </c>
    </row>
    <row r="526" spans="1:2">
      <c r="A526" s="22" t="e">
        <f>IF(ISNUMBER('Bets'!N522),521,NA())</f>
        <v>#N/A</v>
      </c>
      <c r="B526" s="20" t="e">
        <f>IF(ISNUMBER('Bets'!N522),'Bets'!N522,NA())</f>
        <v>#N/A</v>
      </c>
    </row>
    <row r="527" spans="1:2">
      <c r="A527" s="22" t="e">
        <f>IF(ISNUMBER('Bets'!N523),522,NA())</f>
        <v>#N/A</v>
      </c>
      <c r="B527" s="20" t="e">
        <f>IF(ISNUMBER('Bets'!N523),'Bets'!N523,NA())</f>
        <v>#N/A</v>
      </c>
    </row>
    <row r="528" spans="1:2">
      <c r="A528" s="22" t="e">
        <f>IF(ISNUMBER('Bets'!N524),523,NA())</f>
        <v>#N/A</v>
      </c>
      <c r="B528" s="20" t="e">
        <f>IF(ISNUMBER('Bets'!N524),'Bets'!N524,NA())</f>
        <v>#N/A</v>
      </c>
    </row>
    <row r="529" spans="1:2">
      <c r="A529" s="22" t="e">
        <f>IF(ISNUMBER('Bets'!N525),524,NA())</f>
        <v>#N/A</v>
      </c>
      <c r="B529" s="20" t="e">
        <f>IF(ISNUMBER('Bets'!N525),'Bets'!N525,NA())</f>
        <v>#N/A</v>
      </c>
    </row>
    <row r="530" spans="1:2">
      <c r="A530" s="22" t="e">
        <f>IF(ISNUMBER('Bets'!N526),525,NA())</f>
        <v>#N/A</v>
      </c>
      <c r="B530" s="20" t="e">
        <f>IF(ISNUMBER('Bets'!N526),'Bets'!N526,NA())</f>
        <v>#N/A</v>
      </c>
    </row>
    <row r="531" spans="1:2">
      <c r="A531" s="22" t="e">
        <f>IF(ISNUMBER('Bets'!N527),526,NA())</f>
        <v>#N/A</v>
      </c>
      <c r="B531" s="20" t="e">
        <f>IF(ISNUMBER('Bets'!N527),'Bets'!N527,NA())</f>
        <v>#N/A</v>
      </c>
    </row>
    <row r="532" spans="1:2">
      <c r="A532" s="22" t="e">
        <f>IF(ISNUMBER('Bets'!N528),527,NA())</f>
        <v>#N/A</v>
      </c>
      <c r="B532" s="20" t="e">
        <f>IF(ISNUMBER('Bets'!N528),'Bets'!N528,NA())</f>
        <v>#N/A</v>
      </c>
    </row>
    <row r="533" spans="1:2">
      <c r="A533" s="22" t="e">
        <f>IF(ISNUMBER('Bets'!N529),528,NA())</f>
        <v>#N/A</v>
      </c>
      <c r="B533" s="20" t="e">
        <f>IF(ISNUMBER('Bets'!N529),'Bets'!N529,NA())</f>
        <v>#N/A</v>
      </c>
    </row>
    <row r="534" spans="1:2">
      <c r="A534" s="22" t="e">
        <f>IF(ISNUMBER('Bets'!N530),529,NA())</f>
        <v>#N/A</v>
      </c>
      <c r="B534" s="20" t="e">
        <f>IF(ISNUMBER('Bets'!N530),'Bets'!N530,NA())</f>
        <v>#N/A</v>
      </c>
    </row>
    <row r="535" spans="1:2">
      <c r="A535" s="22" t="e">
        <f>IF(ISNUMBER('Bets'!N531),530,NA())</f>
        <v>#N/A</v>
      </c>
      <c r="B535" s="20" t="e">
        <f>IF(ISNUMBER('Bets'!N531),'Bets'!N531,NA())</f>
        <v>#N/A</v>
      </c>
    </row>
    <row r="536" spans="1:2">
      <c r="A536" s="22" t="e">
        <f>IF(ISNUMBER('Bets'!N532),531,NA())</f>
        <v>#N/A</v>
      </c>
      <c r="B536" s="20" t="e">
        <f>IF(ISNUMBER('Bets'!N532),'Bets'!N532,NA())</f>
        <v>#N/A</v>
      </c>
    </row>
    <row r="537" spans="1:2">
      <c r="A537" s="22" t="e">
        <f>IF(ISNUMBER('Bets'!N533),532,NA())</f>
        <v>#N/A</v>
      </c>
      <c r="B537" s="20" t="e">
        <f>IF(ISNUMBER('Bets'!N533),'Bets'!N533,NA())</f>
        <v>#N/A</v>
      </c>
    </row>
    <row r="538" spans="1:2">
      <c r="A538" s="22" t="e">
        <f>IF(ISNUMBER('Bets'!N534),533,NA())</f>
        <v>#N/A</v>
      </c>
      <c r="B538" s="20" t="e">
        <f>IF(ISNUMBER('Bets'!N534),'Bets'!N534,NA())</f>
        <v>#N/A</v>
      </c>
    </row>
    <row r="539" spans="1:2">
      <c r="A539" s="22" t="e">
        <f>IF(ISNUMBER('Bets'!N535),534,NA())</f>
        <v>#N/A</v>
      </c>
      <c r="B539" s="20" t="e">
        <f>IF(ISNUMBER('Bets'!N535),'Bets'!N535,NA())</f>
        <v>#N/A</v>
      </c>
    </row>
    <row r="540" spans="1:2">
      <c r="A540" s="22" t="e">
        <f>IF(ISNUMBER('Bets'!N536),535,NA())</f>
        <v>#N/A</v>
      </c>
      <c r="B540" s="20" t="e">
        <f>IF(ISNUMBER('Bets'!N536),'Bets'!N536,NA())</f>
        <v>#N/A</v>
      </c>
    </row>
    <row r="541" spans="1:2">
      <c r="A541" s="22" t="e">
        <f>IF(ISNUMBER('Bets'!N537),536,NA())</f>
        <v>#N/A</v>
      </c>
      <c r="B541" s="20" t="e">
        <f>IF(ISNUMBER('Bets'!N537),'Bets'!N537,NA())</f>
        <v>#N/A</v>
      </c>
    </row>
    <row r="542" spans="1:2">
      <c r="A542" s="22" t="e">
        <f>IF(ISNUMBER('Bets'!N538),537,NA())</f>
        <v>#N/A</v>
      </c>
      <c r="B542" s="20" t="e">
        <f>IF(ISNUMBER('Bets'!N538),'Bets'!N538,NA())</f>
        <v>#N/A</v>
      </c>
    </row>
    <row r="543" spans="1:2">
      <c r="A543" s="22" t="e">
        <f>IF(ISNUMBER('Bets'!N539),538,NA())</f>
        <v>#N/A</v>
      </c>
      <c r="B543" s="20" t="e">
        <f>IF(ISNUMBER('Bets'!N539),'Bets'!N539,NA())</f>
        <v>#N/A</v>
      </c>
    </row>
    <row r="544" spans="1:2">
      <c r="A544" s="22" t="e">
        <f>IF(ISNUMBER('Bets'!N540),539,NA())</f>
        <v>#N/A</v>
      </c>
      <c r="B544" s="20" t="e">
        <f>IF(ISNUMBER('Bets'!N540),'Bets'!N540,NA())</f>
        <v>#N/A</v>
      </c>
    </row>
    <row r="545" spans="1:2">
      <c r="A545" s="22" t="e">
        <f>IF(ISNUMBER('Bets'!N541),540,NA())</f>
        <v>#N/A</v>
      </c>
      <c r="B545" s="20" t="e">
        <f>IF(ISNUMBER('Bets'!N541),'Bets'!N541,NA())</f>
        <v>#N/A</v>
      </c>
    </row>
    <row r="546" spans="1:2">
      <c r="A546" s="22" t="e">
        <f>IF(ISNUMBER('Bets'!N542),541,NA())</f>
        <v>#N/A</v>
      </c>
      <c r="B546" s="20" t="e">
        <f>IF(ISNUMBER('Bets'!N542),'Bets'!N542,NA())</f>
        <v>#N/A</v>
      </c>
    </row>
    <row r="547" spans="1:2">
      <c r="A547" s="22" t="e">
        <f>IF(ISNUMBER('Bets'!N543),542,NA())</f>
        <v>#N/A</v>
      </c>
      <c r="B547" s="20" t="e">
        <f>IF(ISNUMBER('Bets'!N543),'Bets'!N543,NA())</f>
        <v>#N/A</v>
      </c>
    </row>
    <row r="548" spans="1:2">
      <c r="A548" s="22" t="e">
        <f>IF(ISNUMBER('Bets'!N544),543,NA())</f>
        <v>#N/A</v>
      </c>
      <c r="B548" s="20" t="e">
        <f>IF(ISNUMBER('Bets'!N544),'Bets'!N544,NA())</f>
        <v>#N/A</v>
      </c>
    </row>
    <row r="549" spans="1:2">
      <c r="A549" s="22" t="e">
        <f>IF(ISNUMBER('Bets'!N545),544,NA())</f>
        <v>#N/A</v>
      </c>
      <c r="B549" s="20" t="e">
        <f>IF(ISNUMBER('Bets'!N545),'Bets'!N545,NA())</f>
        <v>#N/A</v>
      </c>
    </row>
    <row r="550" spans="1:2">
      <c r="A550" s="22" t="e">
        <f>IF(ISNUMBER('Bets'!N546),545,NA())</f>
        <v>#N/A</v>
      </c>
      <c r="B550" s="20" t="e">
        <f>IF(ISNUMBER('Bets'!N546),'Bets'!N546,NA())</f>
        <v>#N/A</v>
      </c>
    </row>
    <row r="551" spans="1:2">
      <c r="A551" s="22" t="e">
        <f>IF(ISNUMBER('Bets'!N547),546,NA())</f>
        <v>#N/A</v>
      </c>
      <c r="B551" s="20" t="e">
        <f>IF(ISNUMBER('Bets'!N547),'Bets'!N547,NA())</f>
        <v>#N/A</v>
      </c>
    </row>
    <row r="552" spans="1:2">
      <c r="A552" s="22" t="e">
        <f>IF(ISNUMBER('Bets'!N548),547,NA())</f>
        <v>#N/A</v>
      </c>
      <c r="B552" s="20" t="e">
        <f>IF(ISNUMBER('Bets'!N548),'Bets'!N548,NA())</f>
        <v>#N/A</v>
      </c>
    </row>
    <row r="553" spans="1:2">
      <c r="A553" s="22" t="e">
        <f>IF(ISNUMBER('Bets'!N549),548,NA())</f>
        <v>#N/A</v>
      </c>
      <c r="B553" s="20" t="e">
        <f>IF(ISNUMBER('Bets'!N549),'Bets'!N549,NA())</f>
        <v>#N/A</v>
      </c>
    </row>
    <row r="554" spans="1:2">
      <c r="A554" s="22" t="e">
        <f>IF(ISNUMBER('Bets'!N550),549,NA())</f>
        <v>#N/A</v>
      </c>
      <c r="B554" s="20" t="e">
        <f>IF(ISNUMBER('Bets'!N550),'Bets'!N550,NA())</f>
        <v>#N/A</v>
      </c>
    </row>
    <row r="555" spans="1:2">
      <c r="A555" s="22" t="e">
        <f>IF(ISNUMBER('Bets'!N551),550,NA())</f>
        <v>#N/A</v>
      </c>
      <c r="B555" s="20" t="e">
        <f>IF(ISNUMBER('Bets'!N551),'Bets'!N551,NA())</f>
        <v>#N/A</v>
      </c>
    </row>
    <row r="556" spans="1:2">
      <c r="A556" s="22" t="e">
        <f>IF(ISNUMBER('Bets'!N552),551,NA())</f>
        <v>#N/A</v>
      </c>
      <c r="B556" s="20" t="e">
        <f>IF(ISNUMBER('Bets'!N552),'Bets'!N552,NA())</f>
        <v>#N/A</v>
      </c>
    </row>
    <row r="557" spans="1:2">
      <c r="A557" s="22" t="e">
        <f>IF(ISNUMBER('Bets'!N553),552,NA())</f>
        <v>#N/A</v>
      </c>
      <c r="B557" s="20" t="e">
        <f>IF(ISNUMBER('Bets'!N553),'Bets'!N553,NA())</f>
        <v>#N/A</v>
      </c>
    </row>
    <row r="558" spans="1:2">
      <c r="A558" s="22" t="e">
        <f>IF(ISNUMBER('Bets'!N554),553,NA())</f>
        <v>#N/A</v>
      </c>
      <c r="B558" s="20" t="e">
        <f>IF(ISNUMBER('Bets'!N554),'Bets'!N554,NA())</f>
        <v>#N/A</v>
      </c>
    </row>
    <row r="559" spans="1:2">
      <c r="A559" s="22" t="e">
        <f>IF(ISNUMBER('Bets'!N555),554,NA())</f>
        <v>#N/A</v>
      </c>
      <c r="B559" s="20" t="e">
        <f>IF(ISNUMBER('Bets'!N555),'Bets'!N555,NA())</f>
        <v>#N/A</v>
      </c>
    </row>
    <row r="560" spans="1:2">
      <c r="A560" s="22" t="e">
        <f>IF(ISNUMBER('Bets'!N556),555,NA())</f>
        <v>#N/A</v>
      </c>
      <c r="B560" s="20" t="e">
        <f>IF(ISNUMBER('Bets'!N556),'Bets'!N556,NA())</f>
        <v>#N/A</v>
      </c>
    </row>
    <row r="561" spans="1:2">
      <c r="A561" s="22" t="e">
        <f>IF(ISNUMBER('Bets'!N557),556,NA())</f>
        <v>#N/A</v>
      </c>
      <c r="B561" s="20" t="e">
        <f>IF(ISNUMBER('Bets'!N557),'Bets'!N557,NA())</f>
        <v>#N/A</v>
      </c>
    </row>
    <row r="562" spans="1:2">
      <c r="A562" s="22" t="e">
        <f>IF(ISNUMBER('Bets'!N558),557,NA())</f>
        <v>#N/A</v>
      </c>
      <c r="B562" s="20" t="e">
        <f>IF(ISNUMBER('Bets'!N558),'Bets'!N558,NA())</f>
        <v>#N/A</v>
      </c>
    </row>
    <row r="563" spans="1:2">
      <c r="A563" s="22" t="e">
        <f>IF(ISNUMBER('Bets'!N559),558,NA())</f>
        <v>#N/A</v>
      </c>
      <c r="B563" s="20" t="e">
        <f>IF(ISNUMBER('Bets'!N559),'Bets'!N559,NA())</f>
        <v>#N/A</v>
      </c>
    </row>
    <row r="564" spans="1:2">
      <c r="A564" s="22" t="e">
        <f>IF(ISNUMBER('Bets'!N560),559,NA())</f>
        <v>#N/A</v>
      </c>
      <c r="B564" s="20" t="e">
        <f>IF(ISNUMBER('Bets'!N560),'Bets'!N560,NA())</f>
        <v>#N/A</v>
      </c>
    </row>
    <row r="565" spans="1:2">
      <c r="A565" s="22" t="e">
        <f>IF(ISNUMBER('Bets'!N561),560,NA())</f>
        <v>#N/A</v>
      </c>
      <c r="B565" s="20" t="e">
        <f>IF(ISNUMBER('Bets'!N561),'Bets'!N561,NA())</f>
        <v>#N/A</v>
      </c>
    </row>
    <row r="566" spans="1:2">
      <c r="A566" s="22" t="e">
        <f>IF(ISNUMBER('Bets'!N562),561,NA())</f>
        <v>#N/A</v>
      </c>
      <c r="B566" s="20" t="e">
        <f>IF(ISNUMBER('Bets'!N562),'Bets'!N562,NA())</f>
        <v>#N/A</v>
      </c>
    </row>
    <row r="567" spans="1:2">
      <c r="A567" s="22" t="e">
        <f>IF(ISNUMBER('Bets'!N563),562,NA())</f>
        <v>#N/A</v>
      </c>
      <c r="B567" s="20" t="e">
        <f>IF(ISNUMBER('Bets'!N563),'Bets'!N563,NA())</f>
        <v>#N/A</v>
      </c>
    </row>
    <row r="568" spans="1:2">
      <c r="A568" s="22" t="e">
        <f>IF(ISNUMBER('Bets'!N564),563,NA())</f>
        <v>#N/A</v>
      </c>
      <c r="B568" s="20" t="e">
        <f>IF(ISNUMBER('Bets'!N564),'Bets'!N564,NA())</f>
        <v>#N/A</v>
      </c>
    </row>
    <row r="569" spans="1:2">
      <c r="A569" s="22" t="e">
        <f>IF(ISNUMBER('Bets'!N565),564,NA())</f>
        <v>#N/A</v>
      </c>
      <c r="B569" s="20" t="e">
        <f>IF(ISNUMBER('Bets'!N565),'Bets'!N565,NA())</f>
        <v>#N/A</v>
      </c>
    </row>
    <row r="570" spans="1:2">
      <c r="A570" s="22" t="e">
        <f>IF(ISNUMBER('Bets'!N566),565,NA())</f>
        <v>#N/A</v>
      </c>
      <c r="B570" s="20" t="e">
        <f>IF(ISNUMBER('Bets'!N566),'Bets'!N566,NA())</f>
        <v>#N/A</v>
      </c>
    </row>
    <row r="571" spans="1:2">
      <c r="A571" s="22" t="e">
        <f>IF(ISNUMBER('Bets'!N567),566,NA())</f>
        <v>#N/A</v>
      </c>
      <c r="B571" s="20" t="e">
        <f>IF(ISNUMBER('Bets'!N567),'Bets'!N567,NA())</f>
        <v>#N/A</v>
      </c>
    </row>
    <row r="572" spans="1:2">
      <c r="A572" s="22" t="e">
        <f>IF(ISNUMBER('Bets'!N568),567,NA())</f>
        <v>#N/A</v>
      </c>
      <c r="B572" s="20" t="e">
        <f>IF(ISNUMBER('Bets'!N568),'Bets'!N568,NA())</f>
        <v>#N/A</v>
      </c>
    </row>
    <row r="573" spans="1:2">
      <c r="A573" s="22" t="e">
        <f>IF(ISNUMBER('Bets'!N569),568,NA())</f>
        <v>#N/A</v>
      </c>
      <c r="B573" s="20" t="e">
        <f>IF(ISNUMBER('Bets'!N569),'Bets'!N569,NA())</f>
        <v>#N/A</v>
      </c>
    </row>
    <row r="574" spans="1:2">
      <c r="A574" s="22" t="e">
        <f>IF(ISNUMBER('Bets'!N570),569,NA())</f>
        <v>#N/A</v>
      </c>
      <c r="B574" s="20" t="e">
        <f>IF(ISNUMBER('Bets'!N570),'Bets'!N570,NA())</f>
        <v>#N/A</v>
      </c>
    </row>
    <row r="575" spans="1:2">
      <c r="A575" s="22" t="e">
        <f>IF(ISNUMBER('Bets'!N571),570,NA())</f>
        <v>#N/A</v>
      </c>
      <c r="B575" s="20" t="e">
        <f>IF(ISNUMBER('Bets'!N571),'Bets'!N571,NA())</f>
        <v>#N/A</v>
      </c>
    </row>
    <row r="576" spans="1:2">
      <c r="A576" s="22" t="e">
        <f>IF(ISNUMBER('Bets'!N572),571,NA())</f>
        <v>#N/A</v>
      </c>
      <c r="B576" s="20" t="e">
        <f>IF(ISNUMBER('Bets'!N572),'Bets'!N572,NA())</f>
        <v>#N/A</v>
      </c>
    </row>
    <row r="577" spans="1:2">
      <c r="A577" s="22" t="e">
        <f>IF(ISNUMBER('Bets'!N573),572,NA())</f>
        <v>#N/A</v>
      </c>
      <c r="B577" s="20" t="e">
        <f>IF(ISNUMBER('Bets'!N573),'Bets'!N573,NA())</f>
        <v>#N/A</v>
      </c>
    </row>
    <row r="578" spans="1:2">
      <c r="A578" s="22" t="e">
        <f>IF(ISNUMBER('Bets'!N574),573,NA())</f>
        <v>#N/A</v>
      </c>
      <c r="B578" s="20" t="e">
        <f>IF(ISNUMBER('Bets'!N574),'Bets'!N574,NA())</f>
        <v>#N/A</v>
      </c>
    </row>
    <row r="579" spans="1:2">
      <c r="A579" s="22" t="e">
        <f>IF(ISNUMBER('Bets'!N575),574,NA())</f>
        <v>#N/A</v>
      </c>
      <c r="B579" s="20" t="e">
        <f>IF(ISNUMBER('Bets'!N575),'Bets'!N575,NA())</f>
        <v>#N/A</v>
      </c>
    </row>
    <row r="580" spans="1:2">
      <c r="A580" s="22" t="e">
        <f>IF(ISNUMBER('Bets'!N576),575,NA())</f>
        <v>#N/A</v>
      </c>
      <c r="B580" s="20" t="e">
        <f>IF(ISNUMBER('Bets'!N576),'Bets'!N576,NA())</f>
        <v>#N/A</v>
      </c>
    </row>
    <row r="581" spans="1:2">
      <c r="A581" s="22" t="e">
        <f>IF(ISNUMBER('Bets'!N577),576,NA())</f>
        <v>#N/A</v>
      </c>
      <c r="B581" s="20" t="e">
        <f>IF(ISNUMBER('Bets'!N577),'Bets'!N577,NA())</f>
        <v>#N/A</v>
      </c>
    </row>
    <row r="582" spans="1:2">
      <c r="A582" s="22" t="e">
        <f>IF(ISNUMBER('Bets'!N578),577,NA())</f>
        <v>#N/A</v>
      </c>
      <c r="B582" s="20" t="e">
        <f>IF(ISNUMBER('Bets'!N578),'Bets'!N578,NA())</f>
        <v>#N/A</v>
      </c>
    </row>
    <row r="583" spans="1:2">
      <c r="A583" s="22" t="e">
        <f>IF(ISNUMBER('Bets'!N579),578,NA())</f>
        <v>#N/A</v>
      </c>
      <c r="B583" s="20" t="e">
        <f>IF(ISNUMBER('Bets'!N579),'Bets'!N579,NA())</f>
        <v>#N/A</v>
      </c>
    </row>
    <row r="584" spans="1:2">
      <c r="A584" s="22" t="e">
        <f>IF(ISNUMBER('Bets'!N580),579,NA())</f>
        <v>#N/A</v>
      </c>
      <c r="B584" s="20" t="e">
        <f>IF(ISNUMBER('Bets'!N580),'Bets'!N580,NA())</f>
        <v>#N/A</v>
      </c>
    </row>
    <row r="585" spans="1:2">
      <c r="A585" s="22" t="e">
        <f>IF(ISNUMBER('Bets'!N581),580,NA())</f>
        <v>#N/A</v>
      </c>
      <c r="B585" s="20" t="e">
        <f>IF(ISNUMBER('Bets'!N581),'Bets'!N581,NA())</f>
        <v>#N/A</v>
      </c>
    </row>
    <row r="586" spans="1:2">
      <c r="A586" s="22" t="e">
        <f>IF(ISNUMBER('Bets'!N582),581,NA())</f>
        <v>#N/A</v>
      </c>
      <c r="B586" s="20" t="e">
        <f>IF(ISNUMBER('Bets'!N582),'Bets'!N582,NA())</f>
        <v>#N/A</v>
      </c>
    </row>
    <row r="587" spans="1:2">
      <c r="A587" s="22" t="e">
        <f>IF(ISNUMBER('Bets'!N583),582,NA())</f>
        <v>#N/A</v>
      </c>
      <c r="B587" s="20" t="e">
        <f>IF(ISNUMBER('Bets'!N583),'Bets'!N583,NA())</f>
        <v>#N/A</v>
      </c>
    </row>
    <row r="588" spans="1:2">
      <c r="A588" s="22" t="e">
        <f>IF(ISNUMBER('Bets'!N584),583,NA())</f>
        <v>#N/A</v>
      </c>
      <c r="B588" s="20" t="e">
        <f>IF(ISNUMBER('Bets'!N584),'Bets'!N584,NA())</f>
        <v>#N/A</v>
      </c>
    </row>
    <row r="589" spans="1:2">
      <c r="A589" s="22" t="e">
        <f>IF(ISNUMBER('Bets'!N585),584,NA())</f>
        <v>#N/A</v>
      </c>
      <c r="B589" s="20" t="e">
        <f>IF(ISNUMBER('Bets'!N585),'Bets'!N585,NA())</f>
        <v>#N/A</v>
      </c>
    </row>
    <row r="590" spans="1:2">
      <c r="A590" s="22" t="e">
        <f>IF(ISNUMBER('Bets'!N586),585,NA())</f>
        <v>#N/A</v>
      </c>
      <c r="B590" s="20" t="e">
        <f>IF(ISNUMBER('Bets'!N586),'Bets'!N586,NA())</f>
        <v>#N/A</v>
      </c>
    </row>
    <row r="591" spans="1:2">
      <c r="A591" s="22" t="e">
        <f>IF(ISNUMBER('Bets'!N587),586,NA())</f>
        <v>#N/A</v>
      </c>
      <c r="B591" s="20" t="e">
        <f>IF(ISNUMBER('Bets'!N587),'Bets'!N587,NA())</f>
        <v>#N/A</v>
      </c>
    </row>
    <row r="592" spans="1:2">
      <c r="A592" s="22" t="e">
        <f>IF(ISNUMBER('Bets'!N588),587,NA())</f>
        <v>#N/A</v>
      </c>
      <c r="B592" s="20" t="e">
        <f>IF(ISNUMBER('Bets'!N588),'Bets'!N588,NA())</f>
        <v>#N/A</v>
      </c>
    </row>
    <row r="593" spans="1:2">
      <c r="A593" s="22" t="e">
        <f>IF(ISNUMBER('Bets'!N589),588,NA())</f>
        <v>#N/A</v>
      </c>
      <c r="B593" s="20" t="e">
        <f>IF(ISNUMBER('Bets'!N589),'Bets'!N589,NA())</f>
        <v>#N/A</v>
      </c>
    </row>
    <row r="594" spans="1:2">
      <c r="A594" s="22" t="e">
        <f>IF(ISNUMBER('Bets'!N590),589,NA())</f>
        <v>#N/A</v>
      </c>
      <c r="B594" s="20" t="e">
        <f>IF(ISNUMBER('Bets'!N590),'Bets'!N590,NA())</f>
        <v>#N/A</v>
      </c>
    </row>
    <row r="595" spans="1:2">
      <c r="A595" s="22" t="e">
        <f>IF(ISNUMBER('Bets'!N591),590,NA())</f>
        <v>#N/A</v>
      </c>
      <c r="B595" s="20" t="e">
        <f>IF(ISNUMBER('Bets'!N591),'Bets'!N591,NA())</f>
        <v>#N/A</v>
      </c>
    </row>
    <row r="596" spans="1:2">
      <c r="A596" s="22" t="e">
        <f>IF(ISNUMBER('Bets'!N592),591,NA())</f>
        <v>#N/A</v>
      </c>
      <c r="B596" s="20" t="e">
        <f>IF(ISNUMBER('Bets'!N592),'Bets'!N592,NA())</f>
        <v>#N/A</v>
      </c>
    </row>
    <row r="597" spans="1:2">
      <c r="A597" s="22" t="e">
        <f>IF(ISNUMBER('Bets'!N593),592,NA())</f>
        <v>#N/A</v>
      </c>
      <c r="B597" s="20" t="e">
        <f>IF(ISNUMBER('Bets'!N593),'Bets'!N593,NA())</f>
        <v>#N/A</v>
      </c>
    </row>
    <row r="598" spans="1:2">
      <c r="A598" s="22" t="e">
        <f>IF(ISNUMBER('Bets'!N594),593,NA())</f>
        <v>#N/A</v>
      </c>
      <c r="B598" s="20" t="e">
        <f>IF(ISNUMBER('Bets'!N594),'Bets'!N594,NA())</f>
        <v>#N/A</v>
      </c>
    </row>
    <row r="599" spans="1:2">
      <c r="A599" s="22" t="e">
        <f>IF(ISNUMBER('Bets'!N595),594,NA())</f>
        <v>#N/A</v>
      </c>
      <c r="B599" s="20" t="e">
        <f>IF(ISNUMBER('Bets'!N595),'Bets'!N595,NA())</f>
        <v>#N/A</v>
      </c>
    </row>
    <row r="600" spans="1:2">
      <c r="A600" s="22" t="e">
        <f>IF(ISNUMBER('Bets'!N596),595,NA())</f>
        <v>#N/A</v>
      </c>
      <c r="B600" s="20" t="e">
        <f>IF(ISNUMBER('Bets'!N596),'Bets'!N596,NA())</f>
        <v>#N/A</v>
      </c>
    </row>
    <row r="601" spans="1:2">
      <c r="A601" s="22" t="e">
        <f>IF(ISNUMBER('Bets'!N597),596,NA())</f>
        <v>#N/A</v>
      </c>
      <c r="B601" s="20" t="e">
        <f>IF(ISNUMBER('Bets'!N597),'Bets'!N597,NA())</f>
        <v>#N/A</v>
      </c>
    </row>
    <row r="602" spans="1:2">
      <c r="A602" s="22" t="e">
        <f>IF(ISNUMBER('Bets'!N598),597,NA())</f>
        <v>#N/A</v>
      </c>
      <c r="B602" s="20" t="e">
        <f>IF(ISNUMBER('Bets'!N598),'Bets'!N598,NA())</f>
        <v>#N/A</v>
      </c>
    </row>
    <row r="603" spans="1:2">
      <c r="A603" s="22" t="e">
        <f>IF(ISNUMBER('Bets'!N599),598,NA())</f>
        <v>#N/A</v>
      </c>
      <c r="B603" s="20" t="e">
        <f>IF(ISNUMBER('Bets'!N599),'Bets'!N599,NA())</f>
        <v>#N/A</v>
      </c>
    </row>
    <row r="604" spans="1:2">
      <c r="A604" s="22" t="e">
        <f>IF(ISNUMBER('Bets'!N600),599,NA())</f>
        <v>#N/A</v>
      </c>
      <c r="B604" s="20" t="e">
        <f>IF(ISNUMBER('Bets'!N600),'Bets'!N600,NA())</f>
        <v>#N/A</v>
      </c>
    </row>
    <row r="605" spans="1:2">
      <c r="A605" s="22" t="e">
        <f>IF(ISNUMBER('Bets'!N601),600,NA())</f>
        <v>#N/A</v>
      </c>
      <c r="B605" s="20" t="e">
        <f>IF(ISNUMBER('Bets'!N601),'Bets'!N601,NA())</f>
        <v>#N/A</v>
      </c>
    </row>
    <row r="606" spans="1:2">
      <c r="A606" s="22" t="e">
        <f>IF(ISNUMBER('Bets'!N602),601,NA())</f>
        <v>#N/A</v>
      </c>
      <c r="B606" s="20" t="e">
        <f>IF(ISNUMBER('Bets'!N602),'Bets'!N602,NA())</f>
        <v>#N/A</v>
      </c>
    </row>
    <row r="607" spans="1:2">
      <c r="A607" s="22" t="e">
        <f>IF(ISNUMBER('Bets'!N603),602,NA())</f>
        <v>#N/A</v>
      </c>
      <c r="B607" s="20" t="e">
        <f>IF(ISNUMBER('Bets'!N603),'Bets'!N603,NA())</f>
        <v>#N/A</v>
      </c>
    </row>
    <row r="608" spans="1:2">
      <c r="A608" s="22" t="e">
        <f>IF(ISNUMBER('Bets'!N604),603,NA())</f>
        <v>#N/A</v>
      </c>
      <c r="B608" s="20" t="e">
        <f>IF(ISNUMBER('Bets'!N604),'Bets'!N604,NA())</f>
        <v>#N/A</v>
      </c>
    </row>
    <row r="609" spans="1:2">
      <c r="A609" s="22" t="e">
        <f>IF(ISNUMBER('Bets'!N605),604,NA())</f>
        <v>#N/A</v>
      </c>
      <c r="B609" s="20" t="e">
        <f>IF(ISNUMBER('Bets'!N605),'Bets'!N605,NA())</f>
        <v>#N/A</v>
      </c>
    </row>
    <row r="610" spans="1:2">
      <c r="A610" s="22" t="e">
        <f>IF(ISNUMBER('Bets'!N606),605,NA())</f>
        <v>#N/A</v>
      </c>
      <c r="B610" s="20" t="e">
        <f>IF(ISNUMBER('Bets'!N606),'Bets'!N606,NA())</f>
        <v>#N/A</v>
      </c>
    </row>
    <row r="611" spans="1:2">
      <c r="A611" s="22" t="e">
        <f>IF(ISNUMBER('Bets'!N607),606,NA())</f>
        <v>#N/A</v>
      </c>
      <c r="B611" s="20" t="e">
        <f>IF(ISNUMBER('Bets'!N607),'Bets'!N607,NA())</f>
        <v>#N/A</v>
      </c>
    </row>
    <row r="612" spans="1:2">
      <c r="A612" s="22" t="e">
        <f>IF(ISNUMBER('Bets'!N608),607,NA())</f>
        <v>#N/A</v>
      </c>
      <c r="B612" s="20" t="e">
        <f>IF(ISNUMBER('Bets'!N608),'Bets'!N608,NA())</f>
        <v>#N/A</v>
      </c>
    </row>
    <row r="613" spans="1:2">
      <c r="A613" s="22" t="e">
        <f>IF(ISNUMBER('Bets'!N609),608,NA())</f>
        <v>#N/A</v>
      </c>
      <c r="B613" s="20" t="e">
        <f>IF(ISNUMBER('Bets'!N609),'Bets'!N609,NA())</f>
        <v>#N/A</v>
      </c>
    </row>
    <row r="614" spans="1:2">
      <c r="A614" s="22" t="e">
        <f>IF(ISNUMBER('Bets'!N610),609,NA())</f>
        <v>#N/A</v>
      </c>
      <c r="B614" s="20" t="e">
        <f>IF(ISNUMBER('Bets'!N610),'Bets'!N610,NA())</f>
        <v>#N/A</v>
      </c>
    </row>
    <row r="615" spans="1:2">
      <c r="A615" s="22" t="e">
        <f>IF(ISNUMBER('Bets'!N611),610,NA())</f>
        <v>#N/A</v>
      </c>
      <c r="B615" s="20" t="e">
        <f>IF(ISNUMBER('Bets'!N611),'Bets'!N611,NA())</f>
        <v>#N/A</v>
      </c>
    </row>
    <row r="616" spans="1:2">
      <c r="A616" s="22" t="e">
        <f>IF(ISNUMBER('Bets'!N612),611,NA())</f>
        <v>#N/A</v>
      </c>
      <c r="B616" s="20" t="e">
        <f>IF(ISNUMBER('Bets'!N612),'Bets'!N612,NA())</f>
        <v>#N/A</v>
      </c>
    </row>
    <row r="617" spans="1:2">
      <c r="A617" s="22" t="e">
        <f>IF(ISNUMBER('Bets'!N613),612,NA())</f>
        <v>#N/A</v>
      </c>
      <c r="B617" s="20" t="e">
        <f>IF(ISNUMBER('Bets'!N613),'Bets'!N613,NA())</f>
        <v>#N/A</v>
      </c>
    </row>
    <row r="618" spans="1:2">
      <c r="A618" s="22" t="e">
        <f>IF(ISNUMBER('Bets'!N614),613,NA())</f>
        <v>#N/A</v>
      </c>
      <c r="B618" s="20" t="e">
        <f>IF(ISNUMBER('Bets'!N614),'Bets'!N614,NA())</f>
        <v>#N/A</v>
      </c>
    </row>
    <row r="619" spans="1:2">
      <c r="A619" s="22" t="e">
        <f>IF(ISNUMBER('Bets'!N615),614,NA())</f>
        <v>#N/A</v>
      </c>
      <c r="B619" s="20" t="e">
        <f>IF(ISNUMBER('Bets'!N615),'Bets'!N615,NA())</f>
        <v>#N/A</v>
      </c>
    </row>
    <row r="620" spans="1:2">
      <c r="A620" s="22" t="e">
        <f>IF(ISNUMBER('Bets'!N616),615,NA())</f>
        <v>#N/A</v>
      </c>
      <c r="B620" s="20" t="e">
        <f>IF(ISNUMBER('Bets'!N616),'Bets'!N616,NA())</f>
        <v>#N/A</v>
      </c>
    </row>
    <row r="621" spans="1:2">
      <c r="A621" s="22" t="e">
        <f>IF(ISNUMBER('Bets'!N617),616,NA())</f>
        <v>#N/A</v>
      </c>
      <c r="B621" s="20" t="e">
        <f>IF(ISNUMBER('Bets'!N617),'Bets'!N617,NA())</f>
        <v>#N/A</v>
      </c>
    </row>
    <row r="622" spans="1:2">
      <c r="A622" s="22" t="e">
        <f>IF(ISNUMBER('Bets'!N618),617,NA())</f>
        <v>#N/A</v>
      </c>
      <c r="B622" s="20" t="e">
        <f>IF(ISNUMBER('Bets'!N618),'Bets'!N618,NA())</f>
        <v>#N/A</v>
      </c>
    </row>
    <row r="623" spans="1:2">
      <c r="A623" s="22" t="e">
        <f>IF(ISNUMBER('Bets'!N619),618,NA())</f>
        <v>#N/A</v>
      </c>
      <c r="B623" s="20" t="e">
        <f>IF(ISNUMBER('Bets'!N619),'Bets'!N619,NA())</f>
        <v>#N/A</v>
      </c>
    </row>
    <row r="624" spans="1:2">
      <c r="A624" s="22" t="e">
        <f>IF(ISNUMBER('Bets'!N620),619,NA())</f>
        <v>#N/A</v>
      </c>
      <c r="B624" s="20" t="e">
        <f>IF(ISNUMBER('Bets'!N620),'Bets'!N620,NA())</f>
        <v>#N/A</v>
      </c>
    </row>
    <row r="625" spans="1:2">
      <c r="A625" s="22" t="e">
        <f>IF(ISNUMBER('Bets'!N621),620,NA())</f>
        <v>#N/A</v>
      </c>
      <c r="B625" s="20" t="e">
        <f>IF(ISNUMBER('Bets'!N621),'Bets'!N621,NA())</f>
        <v>#N/A</v>
      </c>
    </row>
    <row r="626" spans="1:2">
      <c r="A626" s="22" t="e">
        <f>IF(ISNUMBER('Bets'!N622),621,NA())</f>
        <v>#N/A</v>
      </c>
      <c r="B626" s="20" t="e">
        <f>IF(ISNUMBER('Bets'!N622),'Bets'!N622,NA())</f>
        <v>#N/A</v>
      </c>
    </row>
    <row r="627" spans="1:2">
      <c r="A627" s="22" t="e">
        <f>IF(ISNUMBER('Bets'!N623),622,NA())</f>
        <v>#N/A</v>
      </c>
      <c r="B627" s="20" t="e">
        <f>IF(ISNUMBER('Bets'!N623),'Bets'!N623,NA())</f>
        <v>#N/A</v>
      </c>
    </row>
    <row r="628" spans="1:2">
      <c r="A628" s="22" t="e">
        <f>IF(ISNUMBER('Bets'!N624),623,NA())</f>
        <v>#N/A</v>
      </c>
      <c r="B628" s="20" t="e">
        <f>IF(ISNUMBER('Bets'!N624),'Bets'!N624,NA())</f>
        <v>#N/A</v>
      </c>
    </row>
    <row r="629" spans="1:2">
      <c r="A629" s="22" t="e">
        <f>IF(ISNUMBER('Bets'!N625),624,NA())</f>
        <v>#N/A</v>
      </c>
      <c r="B629" s="20" t="e">
        <f>IF(ISNUMBER('Bets'!N625),'Bets'!N625,NA())</f>
        <v>#N/A</v>
      </c>
    </row>
    <row r="630" spans="1:2">
      <c r="A630" s="22" t="e">
        <f>IF(ISNUMBER('Bets'!N626),625,NA())</f>
        <v>#N/A</v>
      </c>
      <c r="B630" s="20" t="e">
        <f>IF(ISNUMBER('Bets'!N626),'Bets'!N626,NA())</f>
        <v>#N/A</v>
      </c>
    </row>
    <row r="631" spans="1:2">
      <c r="A631" s="22" t="e">
        <f>IF(ISNUMBER('Bets'!N627),626,NA())</f>
        <v>#N/A</v>
      </c>
      <c r="B631" s="20" t="e">
        <f>IF(ISNUMBER('Bets'!N627),'Bets'!N627,NA())</f>
        <v>#N/A</v>
      </c>
    </row>
    <row r="632" spans="1:2">
      <c r="A632" s="22" t="e">
        <f>IF(ISNUMBER('Bets'!N628),627,NA())</f>
        <v>#N/A</v>
      </c>
      <c r="B632" s="20" t="e">
        <f>IF(ISNUMBER('Bets'!N628),'Bets'!N628,NA())</f>
        <v>#N/A</v>
      </c>
    </row>
    <row r="633" spans="1:2">
      <c r="A633" s="22" t="e">
        <f>IF(ISNUMBER('Bets'!N629),628,NA())</f>
        <v>#N/A</v>
      </c>
      <c r="B633" s="20" t="e">
        <f>IF(ISNUMBER('Bets'!N629),'Bets'!N629,NA())</f>
        <v>#N/A</v>
      </c>
    </row>
    <row r="634" spans="1:2">
      <c r="A634" s="22" t="e">
        <f>IF(ISNUMBER('Bets'!N630),629,NA())</f>
        <v>#N/A</v>
      </c>
      <c r="B634" s="20" t="e">
        <f>IF(ISNUMBER('Bets'!N630),'Bets'!N630,NA())</f>
        <v>#N/A</v>
      </c>
    </row>
    <row r="635" spans="1:2">
      <c r="A635" s="22" t="e">
        <f>IF(ISNUMBER('Bets'!N631),630,NA())</f>
        <v>#N/A</v>
      </c>
      <c r="B635" s="20" t="e">
        <f>IF(ISNUMBER('Bets'!N631),'Bets'!N631,NA())</f>
        <v>#N/A</v>
      </c>
    </row>
    <row r="636" spans="1:2">
      <c r="A636" s="22" t="e">
        <f>IF(ISNUMBER('Bets'!N632),631,NA())</f>
        <v>#N/A</v>
      </c>
      <c r="B636" s="20" t="e">
        <f>IF(ISNUMBER('Bets'!N632),'Bets'!N632,NA())</f>
        <v>#N/A</v>
      </c>
    </row>
    <row r="637" spans="1:2">
      <c r="A637" s="22" t="e">
        <f>IF(ISNUMBER('Bets'!N633),632,NA())</f>
        <v>#N/A</v>
      </c>
      <c r="B637" s="20" t="e">
        <f>IF(ISNUMBER('Bets'!N633),'Bets'!N633,NA())</f>
        <v>#N/A</v>
      </c>
    </row>
    <row r="638" spans="1:2">
      <c r="A638" s="22" t="e">
        <f>IF(ISNUMBER('Bets'!N634),633,NA())</f>
        <v>#N/A</v>
      </c>
      <c r="B638" s="20" t="e">
        <f>IF(ISNUMBER('Bets'!N634),'Bets'!N634,NA())</f>
        <v>#N/A</v>
      </c>
    </row>
    <row r="639" spans="1:2">
      <c r="A639" s="22" t="e">
        <f>IF(ISNUMBER('Bets'!N635),634,NA())</f>
        <v>#N/A</v>
      </c>
      <c r="B639" s="20" t="e">
        <f>IF(ISNUMBER('Bets'!N635),'Bets'!N635,NA())</f>
        <v>#N/A</v>
      </c>
    </row>
    <row r="640" spans="1:2">
      <c r="A640" s="22" t="e">
        <f>IF(ISNUMBER('Bets'!N636),635,NA())</f>
        <v>#N/A</v>
      </c>
      <c r="B640" s="20" t="e">
        <f>IF(ISNUMBER('Bets'!N636),'Bets'!N636,NA())</f>
        <v>#N/A</v>
      </c>
    </row>
    <row r="641" spans="1:2">
      <c r="A641" s="22" t="e">
        <f>IF(ISNUMBER('Bets'!N637),636,NA())</f>
        <v>#N/A</v>
      </c>
      <c r="B641" s="20" t="e">
        <f>IF(ISNUMBER('Bets'!N637),'Bets'!N637,NA())</f>
        <v>#N/A</v>
      </c>
    </row>
    <row r="642" spans="1:2">
      <c r="A642" s="22" t="e">
        <f>IF(ISNUMBER('Bets'!N638),637,NA())</f>
        <v>#N/A</v>
      </c>
      <c r="B642" s="20" t="e">
        <f>IF(ISNUMBER('Bets'!N638),'Bets'!N638,NA())</f>
        <v>#N/A</v>
      </c>
    </row>
    <row r="643" spans="1:2">
      <c r="A643" s="22" t="e">
        <f>IF(ISNUMBER('Bets'!N639),638,NA())</f>
        <v>#N/A</v>
      </c>
      <c r="B643" s="20" t="e">
        <f>IF(ISNUMBER('Bets'!N639),'Bets'!N639,NA())</f>
        <v>#N/A</v>
      </c>
    </row>
    <row r="644" spans="1:2">
      <c r="A644" s="22" t="e">
        <f>IF(ISNUMBER('Bets'!N640),639,NA())</f>
        <v>#N/A</v>
      </c>
      <c r="B644" s="20" t="e">
        <f>IF(ISNUMBER('Bets'!N640),'Bets'!N640,NA())</f>
        <v>#N/A</v>
      </c>
    </row>
    <row r="645" spans="1:2">
      <c r="A645" s="22" t="e">
        <f>IF(ISNUMBER('Bets'!N641),640,NA())</f>
        <v>#N/A</v>
      </c>
      <c r="B645" s="20" t="e">
        <f>IF(ISNUMBER('Bets'!N641),'Bets'!N641,NA())</f>
        <v>#N/A</v>
      </c>
    </row>
    <row r="646" spans="1:2">
      <c r="A646" s="22" t="e">
        <f>IF(ISNUMBER('Bets'!N642),641,NA())</f>
        <v>#N/A</v>
      </c>
      <c r="B646" s="20" t="e">
        <f>IF(ISNUMBER('Bets'!N642),'Bets'!N642,NA())</f>
        <v>#N/A</v>
      </c>
    </row>
    <row r="647" spans="1:2">
      <c r="A647" s="22" t="e">
        <f>IF(ISNUMBER('Bets'!N643),642,NA())</f>
        <v>#N/A</v>
      </c>
      <c r="B647" s="20" t="e">
        <f>IF(ISNUMBER('Bets'!N643),'Bets'!N643,NA())</f>
        <v>#N/A</v>
      </c>
    </row>
    <row r="648" spans="1:2">
      <c r="A648" s="22" t="e">
        <f>IF(ISNUMBER('Bets'!N644),643,NA())</f>
        <v>#N/A</v>
      </c>
      <c r="B648" s="20" t="e">
        <f>IF(ISNUMBER('Bets'!N644),'Bets'!N644,NA())</f>
        <v>#N/A</v>
      </c>
    </row>
    <row r="649" spans="1:2">
      <c r="A649" s="22" t="e">
        <f>IF(ISNUMBER('Bets'!N645),644,NA())</f>
        <v>#N/A</v>
      </c>
      <c r="B649" s="20" t="e">
        <f>IF(ISNUMBER('Bets'!N645),'Bets'!N645,NA())</f>
        <v>#N/A</v>
      </c>
    </row>
    <row r="650" spans="1:2">
      <c r="A650" s="22" t="e">
        <f>IF(ISNUMBER('Bets'!N646),645,NA())</f>
        <v>#N/A</v>
      </c>
      <c r="B650" s="20" t="e">
        <f>IF(ISNUMBER('Bets'!N646),'Bets'!N646,NA())</f>
        <v>#N/A</v>
      </c>
    </row>
    <row r="651" spans="1:2">
      <c r="A651" s="22" t="e">
        <f>IF(ISNUMBER('Bets'!N647),646,NA())</f>
        <v>#N/A</v>
      </c>
      <c r="B651" s="20" t="e">
        <f>IF(ISNUMBER('Bets'!N647),'Bets'!N647,NA())</f>
        <v>#N/A</v>
      </c>
    </row>
    <row r="652" spans="1:2">
      <c r="A652" s="22" t="e">
        <f>IF(ISNUMBER('Bets'!N648),647,NA())</f>
        <v>#N/A</v>
      </c>
      <c r="B652" s="20" t="e">
        <f>IF(ISNUMBER('Bets'!N648),'Bets'!N648,NA())</f>
        <v>#N/A</v>
      </c>
    </row>
    <row r="653" spans="1:2">
      <c r="A653" s="22" t="e">
        <f>IF(ISNUMBER('Bets'!N649),648,NA())</f>
        <v>#N/A</v>
      </c>
      <c r="B653" s="20" t="e">
        <f>IF(ISNUMBER('Bets'!N649),'Bets'!N649,NA())</f>
        <v>#N/A</v>
      </c>
    </row>
    <row r="654" spans="1:2">
      <c r="A654" s="22" t="e">
        <f>IF(ISNUMBER('Bets'!N650),649,NA())</f>
        <v>#N/A</v>
      </c>
      <c r="B654" s="20" t="e">
        <f>IF(ISNUMBER('Bets'!N650),'Bets'!N650,NA())</f>
        <v>#N/A</v>
      </c>
    </row>
    <row r="655" spans="1:2">
      <c r="A655" s="22" t="e">
        <f>IF(ISNUMBER('Bets'!N651),650,NA())</f>
        <v>#N/A</v>
      </c>
      <c r="B655" s="20" t="e">
        <f>IF(ISNUMBER('Bets'!N651),'Bets'!N651,NA())</f>
        <v>#N/A</v>
      </c>
    </row>
    <row r="656" spans="1:2">
      <c r="A656" s="22" t="e">
        <f>IF(ISNUMBER('Bets'!N652),651,NA())</f>
        <v>#N/A</v>
      </c>
      <c r="B656" s="20" t="e">
        <f>IF(ISNUMBER('Bets'!N652),'Bets'!N652,NA())</f>
        <v>#N/A</v>
      </c>
    </row>
    <row r="657" spans="1:2">
      <c r="A657" s="22" t="e">
        <f>IF(ISNUMBER('Bets'!N653),652,NA())</f>
        <v>#N/A</v>
      </c>
      <c r="B657" s="20" t="e">
        <f>IF(ISNUMBER('Bets'!N653),'Bets'!N653,NA())</f>
        <v>#N/A</v>
      </c>
    </row>
    <row r="658" spans="1:2">
      <c r="A658" s="22" t="e">
        <f>IF(ISNUMBER('Bets'!N654),653,NA())</f>
        <v>#N/A</v>
      </c>
      <c r="B658" s="20" t="e">
        <f>IF(ISNUMBER('Bets'!N654),'Bets'!N654,NA())</f>
        <v>#N/A</v>
      </c>
    </row>
    <row r="659" spans="1:2">
      <c r="A659" s="22" t="e">
        <f>IF(ISNUMBER('Bets'!N655),654,NA())</f>
        <v>#N/A</v>
      </c>
      <c r="B659" s="20" t="e">
        <f>IF(ISNUMBER('Bets'!N655),'Bets'!N655,NA())</f>
        <v>#N/A</v>
      </c>
    </row>
    <row r="660" spans="1:2">
      <c r="A660" s="22" t="e">
        <f>IF(ISNUMBER('Bets'!N656),655,NA())</f>
        <v>#N/A</v>
      </c>
      <c r="B660" s="20" t="e">
        <f>IF(ISNUMBER('Bets'!N656),'Bets'!N656,NA())</f>
        <v>#N/A</v>
      </c>
    </row>
    <row r="661" spans="1:2">
      <c r="A661" s="22" t="e">
        <f>IF(ISNUMBER('Bets'!N657),656,NA())</f>
        <v>#N/A</v>
      </c>
      <c r="B661" s="20" t="e">
        <f>IF(ISNUMBER('Bets'!N657),'Bets'!N657,NA())</f>
        <v>#N/A</v>
      </c>
    </row>
    <row r="662" spans="1:2">
      <c r="A662" s="22" t="e">
        <f>IF(ISNUMBER('Bets'!N658),657,NA())</f>
        <v>#N/A</v>
      </c>
      <c r="B662" s="20" t="e">
        <f>IF(ISNUMBER('Bets'!N658),'Bets'!N658,NA())</f>
        <v>#N/A</v>
      </c>
    </row>
    <row r="663" spans="1:2">
      <c r="A663" s="22" t="e">
        <f>IF(ISNUMBER('Bets'!N659),658,NA())</f>
        <v>#N/A</v>
      </c>
      <c r="B663" s="20" t="e">
        <f>IF(ISNUMBER('Bets'!N659),'Bets'!N659,NA())</f>
        <v>#N/A</v>
      </c>
    </row>
    <row r="664" spans="1:2">
      <c r="A664" s="22" t="e">
        <f>IF(ISNUMBER('Bets'!N660),659,NA())</f>
        <v>#N/A</v>
      </c>
      <c r="B664" s="20" t="e">
        <f>IF(ISNUMBER('Bets'!N660),'Bets'!N660,NA())</f>
        <v>#N/A</v>
      </c>
    </row>
    <row r="665" spans="1:2">
      <c r="A665" s="22" t="e">
        <f>IF(ISNUMBER('Bets'!N661),660,NA())</f>
        <v>#N/A</v>
      </c>
      <c r="B665" s="20" t="e">
        <f>IF(ISNUMBER('Bets'!N661),'Bets'!N661,NA())</f>
        <v>#N/A</v>
      </c>
    </row>
    <row r="666" spans="1:2">
      <c r="A666" s="22" t="e">
        <f>IF(ISNUMBER('Bets'!N662),661,NA())</f>
        <v>#N/A</v>
      </c>
      <c r="B666" s="20" t="e">
        <f>IF(ISNUMBER('Bets'!N662),'Bets'!N662,NA())</f>
        <v>#N/A</v>
      </c>
    </row>
    <row r="667" spans="1:2">
      <c r="A667" s="22" t="e">
        <f>IF(ISNUMBER('Bets'!N663),662,NA())</f>
        <v>#N/A</v>
      </c>
      <c r="B667" s="20" t="e">
        <f>IF(ISNUMBER('Bets'!N663),'Bets'!N663,NA())</f>
        <v>#N/A</v>
      </c>
    </row>
    <row r="668" spans="1:2">
      <c r="A668" s="22" t="e">
        <f>IF(ISNUMBER('Bets'!N664),663,NA())</f>
        <v>#N/A</v>
      </c>
      <c r="B668" s="20" t="e">
        <f>IF(ISNUMBER('Bets'!N664),'Bets'!N664,NA())</f>
        <v>#N/A</v>
      </c>
    </row>
    <row r="669" spans="1:2">
      <c r="A669" s="22" t="e">
        <f>IF(ISNUMBER('Bets'!N665),664,NA())</f>
        <v>#N/A</v>
      </c>
      <c r="B669" s="20" t="e">
        <f>IF(ISNUMBER('Bets'!N665),'Bets'!N665,NA())</f>
        <v>#N/A</v>
      </c>
    </row>
    <row r="670" spans="1:2">
      <c r="A670" s="22" t="e">
        <f>IF(ISNUMBER('Bets'!N666),665,NA())</f>
        <v>#N/A</v>
      </c>
      <c r="B670" s="20" t="e">
        <f>IF(ISNUMBER('Bets'!N666),'Bets'!N666,NA())</f>
        <v>#N/A</v>
      </c>
    </row>
    <row r="671" spans="1:2">
      <c r="A671" s="22" t="e">
        <f>IF(ISNUMBER('Bets'!N667),666,NA())</f>
        <v>#N/A</v>
      </c>
      <c r="B671" s="20" t="e">
        <f>IF(ISNUMBER('Bets'!N667),'Bets'!N667,NA())</f>
        <v>#N/A</v>
      </c>
    </row>
    <row r="672" spans="1:2">
      <c r="A672" s="22" t="e">
        <f>IF(ISNUMBER('Bets'!N668),667,NA())</f>
        <v>#N/A</v>
      </c>
      <c r="B672" s="20" t="e">
        <f>IF(ISNUMBER('Bets'!N668),'Bets'!N668,NA())</f>
        <v>#N/A</v>
      </c>
    </row>
    <row r="673" spans="1:2">
      <c r="A673" s="22" t="e">
        <f>IF(ISNUMBER('Bets'!N669),668,NA())</f>
        <v>#N/A</v>
      </c>
      <c r="B673" s="20" t="e">
        <f>IF(ISNUMBER('Bets'!N669),'Bets'!N669,NA())</f>
        <v>#N/A</v>
      </c>
    </row>
    <row r="674" spans="1:2">
      <c r="A674" s="22" t="e">
        <f>IF(ISNUMBER('Bets'!N670),669,NA())</f>
        <v>#N/A</v>
      </c>
      <c r="B674" s="20" t="e">
        <f>IF(ISNUMBER('Bets'!N670),'Bets'!N670,NA())</f>
        <v>#N/A</v>
      </c>
    </row>
    <row r="675" spans="1:2">
      <c r="A675" s="22" t="e">
        <f>IF(ISNUMBER('Bets'!N671),670,NA())</f>
        <v>#N/A</v>
      </c>
      <c r="B675" s="20" t="e">
        <f>IF(ISNUMBER('Bets'!N671),'Bets'!N671,NA())</f>
        <v>#N/A</v>
      </c>
    </row>
    <row r="676" spans="1:2">
      <c r="A676" s="22" t="e">
        <f>IF(ISNUMBER('Bets'!N672),671,NA())</f>
        <v>#N/A</v>
      </c>
      <c r="B676" s="20" t="e">
        <f>IF(ISNUMBER('Bets'!N672),'Bets'!N672,NA())</f>
        <v>#N/A</v>
      </c>
    </row>
    <row r="677" spans="1:2">
      <c r="A677" s="22" t="e">
        <f>IF(ISNUMBER('Bets'!N673),672,NA())</f>
        <v>#N/A</v>
      </c>
      <c r="B677" s="20" t="e">
        <f>IF(ISNUMBER('Bets'!N673),'Bets'!N673,NA())</f>
        <v>#N/A</v>
      </c>
    </row>
    <row r="678" spans="1:2">
      <c r="A678" s="22" t="e">
        <f>IF(ISNUMBER('Bets'!N674),673,NA())</f>
        <v>#N/A</v>
      </c>
      <c r="B678" s="20" t="e">
        <f>IF(ISNUMBER('Bets'!N674),'Bets'!N674,NA())</f>
        <v>#N/A</v>
      </c>
    </row>
    <row r="679" spans="1:2">
      <c r="A679" s="22" t="e">
        <f>IF(ISNUMBER('Bets'!N675),674,NA())</f>
        <v>#N/A</v>
      </c>
      <c r="B679" s="20" t="e">
        <f>IF(ISNUMBER('Bets'!N675),'Bets'!N675,NA())</f>
        <v>#N/A</v>
      </c>
    </row>
    <row r="680" spans="1:2">
      <c r="A680" s="22" t="e">
        <f>IF(ISNUMBER('Bets'!N676),675,NA())</f>
        <v>#N/A</v>
      </c>
      <c r="B680" s="20" t="e">
        <f>IF(ISNUMBER('Bets'!N676),'Bets'!N676,NA())</f>
        <v>#N/A</v>
      </c>
    </row>
    <row r="681" spans="1:2">
      <c r="A681" s="22" t="e">
        <f>IF(ISNUMBER('Bets'!N677),676,NA())</f>
        <v>#N/A</v>
      </c>
      <c r="B681" s="20" t="e">
        <f>IF(ISNUMBER('Bets'!N677),'Bets'!N677,NA())</f>
        <v>#N/A</v>
      </c>
    </row>
    <row r="682" spans="1:2">
      <c r="A682" s="22" t="e">
        <f>IF(ISNUMBER('Bets'!N678),677,NA())</f>
        <v>#N/A</v>
      </c>
      <c r="B682" s="20" t="e">
        <f>IF(ISNUMBER('Bets'!N678),'Bets'!N678,NA())</f>
        <v>#N/A</v>
      </c>
    </row>
    <row r="683" spans="1:2">
      <c r="A683" s="22" t="e">
        <f>IF(ISNUMBER('Bets'!N679),678,NA())</f>
        <v>#N/A</v>
      </c>
      <c r="B683" s="20" t="e">
        <f>IF(ISNUMBER('Bets'!N679),'Bets'!N679,NA())</f>
        <v>#N/A</v>
      </c>
    </row>
    <row r="684" spans="1:2">
      <c r="A684" s="22" t="e">
        <f>IF(ISNUMBER('Bets'!N680),679,NA())</f>
        <v>#N/A</v>
      </c>
      <c r="B684" s="20" t="e">
        <f>IF(ISNUMBER('Bets'!N680),'Bets'!N680,NA())</f>
        <v>#N/A</v>
      </c>
    </row>
    <row r="685" spans="1:2">
      <c r="A685" s="22" t="e">
        <f>IF(ISNUMBER('Bets'!N681),680,NA())</f>
        <v>#N/A</v>
      </c>
      <c r="B685" s="20" t="e">
        <f>IF(ISNUMBER('Bets'!N681),'Bets'!N681,NA())</f>
        <v>#N/A</v>
      </c>
    </row>
    <row r="686" spans="1:2">
      <c r="A686" s="22" t="e">
        <f>IF(ISNUMBER('Bets'!N682),681,NA())</f>
        <v>#N/A</v>
      </c>
      <c r="B686" s="20" t="e">
        <f>IF(ISNUMBER('Bets'!N682),'Bets'!N682,NA())</f>
        <v>#N/A</v>
      </c>
    </row>
    <row r="687" spans="1:2">
      <c r="A687" s="22" t="e">
        <f>IF(ISNUMBER('Bets'!N683),682,NA())</f>
        <v>#N/A</v>
      </c>
      <c r="B687" s="20" t="e">
        <f>IF(ISNUMBER('Bets'!N683),'Bets'!N683,NA())</f>
        <v>#N/A</v>
      </c>
    </row>
    <row r="688" spans="1:2">
      <c r="A688" s="22" t="e">
        <f>IF(ISNUMBER('Bets'!N684),683,NA())</f>
        <v>#N/A</v>
      </c>
      <c r="B688" s="20" t="e">
        <f>IF(ISNUMBER('Bets'!N684),'Bets'!N684,NA())</f>
        <v>#N/A</v>
      </c>
    </row>
    <row r="689" spans="1:2">
      <c r="A689" s="22" t="e">
        <f>IF(ISNUMBER('Bets'!N685),684,NA())</f>
        <v>#N/A</v>
      </c>
      <c r="B689" s="20" t="e">
        <f>IF(ISNUMBER('Bets'!N685),'Bets'!N685,NA())</f>
        <v>#N/A</v>
      </c>
    </row>
    <row r="690" spans="1:2">
      <c r="A690" s="22" t="e">
        <f>IF(ISNUMBER('Bets'!N686),685,NA())</f>
        <v>#N/A</v>
      </c>
      <c r="B690" s="20" t="e">
        <f>IF(ISNUMBER('Bets'!N686),'Bets'!N686,NA())</f>
        <v>#N/A</v>
      </c>
    </row>
    <row r="691" spans="1:2">
      <c r="A691" s="22" t="e">
        <f>IF(ISNUMBER('Bets'!N687),686,NA())</f>
        <v>#N/A</v>
      </c>
      <c r="B691" s="20" t="e">
        <f>IF(ISNUMBER('Bets'!N687),'Bets'!N687,NA())</f>
        <v>#N/A</v>
      </c>
    </row>
    <row r="692" spans="1:2">
      <c r="A692" s="22" t="e">
        <f>IF(ISNUMBER('Bets'!N688),687,NA())</f>
        <v>#N/A</v>
      </c>
      <c r="B692" s="20" t="e">
        <f>IF(ISNUMBER('Bets'!N688),'Bets'!N688,NA())</f>
        <v>#N/A</v>
      </c>
    </row>
    <row r="693" spans="1:2">
      <c r="A693" s="22" t="e">
        <f>IF(ISNUMBER('Bets'!N689),688,NA())</f>
        <v>#N/A</v>
      </c>
      <c r="B693" s="20" t="e">
        <f>IF(ISNUMBER('Bets'!N689),'Bets'!N689,NA())</f>
        <v>#N/A</v>
      </c>
    </row>
    <row r="694" spans="1:2">
      <c r="A694" s="22" t="e">
        <f>IF(ISNUMBER('Bets'!N690),689,NA())</f>
        <v>#N/A</v>
      </c>
      <c r="B694" s="20" t="e">
        <f>IF(ISNUMBER('Bets'!N690),'Bets'!N690,NA())</f>
        <v>#N/A</v>
      </c>
    </row>
    <row r="695" spans="1:2">
      <c r="A695" s="22" t="e">
        <f>IF(ISNUMBER('Bets'!N691),690,NA())</f>
        <v>#N/A</v>
      </c>
      <c r="B695" s="20" t="e">
        <f>IF(ISNUMBER('Bets'!N691),'Bets'!N691,NA())</f>
        <v>#N/A</v>
      </c>
    </row>
    <row r="696" spans="1:2">
      <c r="A696" s="22" t="e">
        <f>IF(ISNUMBER('Bets'!N692),691,NA())</f>
        <v>#N/A</v>
      </c>
      <c r="B696" s="20" t="e">
        <f>IF(ISNUMBER('Bets'!N692),'Bets'!N692,NA())</f>
        <v>#N/A</v>
      </c>
    </row>
    <row r="697" spans="1:2">
      <c r="A697" s="22" t="e">
        <f>IF(ISNUMBER('Bets'!N693),692,NA())</f>
        <v>#N/A</v>
      </c>
      <c r="B697" s="20" t="e">
        <f>IF(ISNUMBER('Bets'!N693),'Bets'!N693,NA())</f>
        <v>#N/A</v>
      </c>
    </row>
    <row r="698" spans="1:2">
      <c r="A698" s="22" t="e">
        <f>IF(ISNUMBER('Bets'!N694),693,NA())</f>
        <v>#N/A</v>
      </c>
      <c r="B698" s="20" t="e">
        <f>IF(ISNUMBER('Bets'!N694),'Bets'!N694,NA())</f>
        <v>#N/A</v>
      </c>
    </row>
    <row r="699" spans="1:2">
      <c r="A699" s="22" t="e">
        <f>IF(ISNUMBER('Bets'!N695),694,NA())</f>
        <v>#N/A</v>
      </c>
      <c r="B699" s="20" t="e">
        <f>IF(ISNUMBER('Bets'!N695),'Bets'!N695,NA())</f>
        <v>#N/A</v>
      </c>
    </row>
    <row r="700" spans="1:2">
      <c r="A700" s="22" t="e">
        <f>IF(ISNUMBER('Bets'!N696),695,NA())</f>
        <v>#N/A</v>
      </c>
      <c r="B700" s="20" t="e">
        <f>IF(ISNUMBER('Bets'!N696),'Bets'!N696,NA())</f>
        <v>#N/A</v>
      </c>
    </row>
    <row r="701" spans="1:2">
      <c r="A701" s="22" t="e">
        <f>IF(ISNUMBER('Bets'!N697),696,NA())</f>
        <v>#N/A</v>
      </c>
      <c r="B701" s="20" t="e">
        <f>IF(ISNUMBER('Bets'!N697),'Bets'!N697,NA())</f>
        <v>#N/A</v>
      </c>
    </row>
    <row r="702" spans="1:2">
      <c r="A702" s="22" t="e">
        <f>IF(ISNUMBER('Bets'!N698),697,NA())</f>
        <v>#N/A</v>
      </c>
      <c r="B702" s="20" t="e">
        <f>IF(ISNUMBER('Bets'!N698),'Bets'!N698,NA())</f>
        <v>#N/A</v>
      </c>
    </row>
    <row r="703" spans="1:2">
      <c r="A703" s="22" t="e">
        <f>IF(ISNUMBER('Bets'!N699),698,NA())</f>
        <v>#N/A</v>
      </c>
      <c r="B703" s="20" t="e">
        <f>IF(ISNUMBER('Bets'!N699),'Bets'!N699,NA())</f>
        <v>#N/A</v>
      </c>
    </row>
    <row r="704" spans="1:2">
      <c r="A704" s="22" t="e">
        <f>IF(ISNUMBER('Bets'!N700),699,NA())</f>
        <v>#N/A</v>
      </c>
      <c r="B704" s="20" t="e">
        <f>IF(ISNUMBER('Bets'!N700),'Bets'!N700,NA())</f>
        <v>#N/A</v>
      </c>
    </row>
    <row r="705" spans="1:2">
      <c r="A705" s="22" t="e">
        <f>IF(ISNUMBER('Bets'!N701),700,NA())</f>
        <v>#N/A</v>
      </c>
      <c r="B705" s="20" t="e">
        <f>IF(ISNUMBER('Bets'!N701),'Bets'!N701,NA())</f>
        <v>#N/A</v>
      </c>
    </row>
    <row r="706" spans="1:2">
      <c r="A706" s="22" t="e">
        <f>IF(ISNUMBER('Bets'!N702),701,NA())</f>
        <v>#N/A</v>
      </c>
      <c r="B706" s="20" t="e">
        <f>IF(ISNUMBER('Bets'!N702),'Bets'!N702,NA())</f>
        <v>#N/A</v>
      </c>
    </row>
    <row r="707" spans="1:2">
      <c r="A707" s="22" t="e">
        <f>IF(ISNUMBER('Bets'!N703),702,NA())</f>
        <v>#N/A</v>
      </c>
      <c r="B707" s="20" t="e">
        <f>IF(ISNUMBER('Bets'!N703),'Bets'!N703,NA())</f>
        <v>#N/A</v>
      </c>
    </row>
    <row r="708" spans="1:2">
      <c r="A708" s="22" t="e">
        <f>IF(ISNUMBER('Bets'!N704),703,NA())</f>
        <v>#N/A</v>
      </c>
      <c r="B708" s="20" t="e">
        <f>IF(ISNUMBER('Bets'!N704),'Bets'!N704,NA())</f>
        <v>#N/A</v>
      </c>
    </row>
    <row r="709" spans="1:2">
      <c r="A709" s="22" t="e">
        <f>IF(ISNUMBER('Bets'!N705),704,NA())</f>
        <v>#N/A</v>
      </c>
      <c r="B709" s="20" t="e">
        <f>IF(ISNUMBER('Bets'!N705),'Bets'!N705,NA())</f>
        <v>#N/A</v>
      </c>
    </row>
    <row r="710" spans="1:2">
      <c r="A710" s="22" t="e">
        <f>IF(ISNUMBER('Bets'!N706),705,NA())</f>
        <v>#N/A</v>
      </c>
      <c r="B710" s="20" t="e">
        <f>IF(ISNUMBER('Bets'!N706),'Bets'!N706,NA())</f>
        <v>#N/A</v>
      </c>
    </row>
    <row r="711" spans="1:2">
      <c r="A711" s="22" t="e">
        <f>IF(ISNUMBER('Bets'!N707),706,NA())</f>
        <v>#N/A</v>
      </c>
      <c r="B711" s="20" t="e">
        <f>IF(ISNUMBER('Bets'!N707),'Bets'!N707,NA())</f>
        <v>#N/A</v>
      </c>
    </row>
    <row r="712" spans="1:2">
      <c r="A712" s="22" t="e">
        <f>IF(ISNUMBER('Bets'!N708),707,NA())</f>
        <v>#N/A</v>
      </c>
      <c r="B712" s="20" t="e">
        <f>IF(ISNUMBER('Bets'!N708),'Bets'!N708,NA())</f>
        <v>#N/A</v>
      </c>
    </row>
    <row r="713" spans="1:2">
      <c r="A713" s="22" t="e">
        <f>IF(ISNUMBER('Bets'!N709),708,NA())</f>
        <v>#N/A</v>
      </c>
      <c r="B713" s="20" t="e">
        <f>IF(ISNUMBER('Bets'!N709),'Bets'!N709,NA())</f>
        <v>#N/A</v>
      </c>
    </row>
    <row r="714" spans="1:2">
      <c r="A714" s="22" t="e">
        <f>IF(ISNUMBER('Bets'!N710),709,NA())</f>
        <v>#N/A</v>
      </c>
      <c r="B714" s="20" t="e">
        <f>IF(ISNUMBER('Bets'!N710),'Bets'!N710,NA())</f>
        <v>#N/A</v>
      </c>
    </row>
    <row r="715" spans="1:2">
      <c r="A715" s="22" t="e">
        <f>IF(ISNUMBER('Bets'!N711),710,NA())</f>
        <v>#N/A</v>
      </c>
      <c r="B715" s="20" t="e">
        <f>IF(ISNUMBER('Bets'!N711),'Bets'!N711,NA())</f>
        <v>#N/A</v>
      </c>
    </row>
    <row r="716" spans="1:2">
      <c r="A716" s="22" t="e">
        <f>IF(ISNUMBER('Bets'!N712),711,NA())</f>
        <v>#N/A</v>
      </c>
      <c r="B716" s="20" t="e">
        <f>IF(ISNUMBER('Bets'!N712),'Bets'!N712,NA())</f>
        <v>#N/A</v>
      </c>
    </row>
    <row r="717" spans="1:2">
      <c r="A717" s="22" t="e">
        <f>IF(ISNUMBER('Bets'!N713),712,NA())</f>
        <v>#N/A</v>
      </c>
      <c r="B717" s="20" t="e">
        <f>IF(ISNUMBER('Bets'!N713),'Bets'!N713,NA())</f>
        <v>#N/A</v>
      </c>
    </row>
    <row r="718" spans="1:2">
      <c r="A718" s="22" t="e">
        <f>IF(ISNUMBER('Bets'!N714),713,NA())</f>
        <v>#N/A</v>
      </c>
      <c r="B718" s="20" t="e">
        <f>IF(ISNUMBER('Bets'!N714),'Bets'!N714,NA())</f>
        <v>#N/A</v>
      </c>
    </row>
    <row r="719" spans="1:2">
      <c r="A719" s="22" t="e">
        <f>IF(ISNUMBER('Bets'!N715),714,NA())</f>
        <v>#N/A</v>
      </c>
      <c r="B719" s="20" t="e">
        <f>IF(ISNUMBER('Bets'!N715),'Bets'!N715,NA())</f>
        <v>#N/A</v>
      </c>
    </row>
    <row r="720" spans="1:2">
      <c r="A720" s="22" t="e">
        <f>IF(ISNUMBER('Bets'!N716),715,NA())</f>
        <v>#N/A</v>
      </c>
      <c r="B720" s="20" t="e">
        <f>IF(ISNUMBER('Bets'!N716),'Bets'!N716,NA())</f>
        <v>#N/A</v>
      </c>
    </row>
    <row r="721" spans="1:2">
      <c r="A721" s="22" t="e">
        <f>IF(ISNUMBER('Bets'!N717),716,NA())</f>
        <v>#N/A</v>
      </c>
      <c r="B721" s="20" t="e">
        <f>IF(ISNUMBER('Bets'!N717),'Bets'!N717,NA())</f>
        <v>#N/A</v>
      </c>
    </row>
    <row r="722" spans="1:2">
      <c r="A722" s="22" t="e">
        <f>IF(ISNUMBER('Bets'!N718),717,NA())</f>
        <v>#N/A</v>
      </c>
      <c r="B722" s="20" t="e">
        <f>IF(ISNUMBER('Bets'!N718),'Bets'!N718,NA())</f>
        <v>#N/A</v>
      </c>
    </row>
    <row r="723" spans="1:2">
      <c r="A723" s="22" t="e">
        <f>IF(ISNUMBER('Bets'!N719),718,NA())</f>
        <v>#N/A</v>
      </c>
      <c r="B723" s="20" t="e">
        <f>IF(ISNUMBER('Bets'!N719),'Bets'!N719,NA())</f>
        <v>#N/A</v>
      </c>
    </row>
    <row r="724" spans="1:2">
      <c r="A724" s="22" t="e">
        <f>IF(ISNUMBER('Bets'!N720),719,NA())</f>
        <v>#N/A</v>
      </c>
      <c r="B724" s="20" t="e">
        <f>IF(ISNUMBER('Bets'!N720),'Bets'!N720,NA())</f>
        <v>#N/A</v>
      </c>
    </row>
    <row r="725" spans="1:2">
      <c r="A725" s="22" t="e">
        <f>IF(ISNUMBER('Bets'!N721),720,NA())</f>
        <v>#N/A</v>
      </c>
      <c r="B725" s="20" t="e">
        <f>IF(ISNUMBER('Bets'!N721),'Bets'!N721,NA())</f>
        <v>#N/A</v>
      </c>
    </row>
    <row r="726" spans="1:2">
      <c r="A726" s="22" t="e">
        <f>IF(ISNUMBER('Bets'!N722),721,NA())</f>
        <v>#N/A</v>
      </c>
      <c r="B726" s="20" t="e">
        <f>IF(ISNUMBER('Bets'!N722),'Bets'!N722,NA())</f>
        <v>#N/A</v>
      </c>
    </row>
    <row r="727" spans="1:2">
      <c r="A727" s="22" t="e">
        <f>IF(ISNUMBER('Bets'!N723),722,NA())</f>
        <v>#N/A</v>
      </c>
      <c r="B727" s="20" t="e">
        <f>IF(ISNUMBER('Bets'!N723),'Bets'!N723,NA())</f>
        <v>#N/A</v>
      </c>
    </row>
    <row r="728" spans="1:2">
      <c r="A728" s="22" t="e">
        <f>IF(ISNUMBER('Bets'!N724),723,NA())</f>
        <v>#N/A</v>
      </c>
      <c r="B728" s="20" t="e">
        <f>IF(ISNUMBER('Bets'!N724),'Bets'!N724,NA())</f>
        <v>#N/A</v>
      </c>
    </row>
    <row r="729" spans="1:2">
      <c r="A729" s="22" t="e">
        <f>IF(ISNUMBER('Bets'!N725),724,NA())</f>
        <v>#N/A</v>
      </c>
      <c r="B729" s="20" t="e">
        <f>IF(ISNUMBER('Bets'!N725),'Bets'!N725,NA())</f>
        <v>#N/A</v>
      </c>
    </row>
    <row r="730" spans="1:2">
      <c r="A730" s="22" t="e">
        <f>IF(ISNUMBER('Bets'!N726),725,NA())</f>
        <v>#N/A</v>
      </c>
      <c r="B730" s="20" t="e">
        <f>IF(ISNUMBER('Bets'!N726),'Bets'!N726,NA())</f>
        <v>#N/A</v>
      </c>
    </row>
    <row r="731" spans="1:2">
      <c r="A731" s="22" t="e">
        <f>IF(ISNUMBER('Bets'!N727),726,NA())</f>
        <v>#N/A</v>
      </c>
      <c r="B731" s="20" t="e">
        <f>IF(ISNUMBER('Bets'!N727),'Bets'!N727,NA())</f>
        <v>#N/A</v>
      </c>
    </row>
    <row r="732" spans="1:2">
      <c r="A732" s="22" t="e">
        <f>IF(ISNUMBER('Bets'!N728),727,NA())</f>
        <v>#N/A</v>
      </c>
      <c r="B732" s="20" t="e">
        <f>IF(ISNUMBER('Bets'!N728),'Bets'!N728,NA())</f>
        <v>#N/A</v>
      </c>
    </row>
    <row r="733" spans="1:2">
      <c r="A733" s="22" t="e">
        <f>IF(ISNUMBER('Bets'!N729),728,NA())</f>
        <v>#N/A</v>
      </c>
      <c r="B733" s="20" t="e">
        <f>IF(ISNUMBER('Bets'!N729),'Bets'!N729,NA())</f>
        <v>#N/A</v>
      </c>
    </row>
    <row r="734" spans="1:2">
      <c r="A734" s="22" t="e">
        <f>IF(ISNUMBER('Bets'!N730),729,NA())</f>
        <v>#N/A</v>
      </c>
      <c r="B734" s="20" t="e">
        <f>IF(ISNUMBER('Bets'!N730),'Bets'!N730,NA())</f>
        <v>#N/A</v>
      </c>
    </row>
    <row r="735" spans="1:2">
      <c r="A735" s="22" t="e">
        <f>IF(ISNUMBER('Bets'!N731),730,NA())</f>
        <v>#N/A</v>
      </c>
      <c r="B735" s="20" t="e">
        <f>IF(ISNUMBER('Bets'!N731),'Bets'!N731,NA())</f>
        <v>#N/A</v>
      </c>
    </row>
    <row r="736" spans="1:2">
      <c r="A736" s="22" t="e">
        <f>IF(ISNUMBER('Bets'!N732),731,NA())</f>
        <v>#N/A</v>
      </c>
      <c r="B736" s="20" t="e">
        <f>IF(ISNUMBER('Bets'!N732),'Bets'!N732,NA())</f>
        <v>#N/A</v>
      </c>
    </row>
    <row r="737" spans="1:2">
      <c r="A737" s="22" t="e">
        <f>IF(ISNUMBER('Bets'!N733),732,NA())</f>
        <v>#N/A</v>
      </c>
      <c r="B737" s="20" t="e">
        <f>IF(ISNUMBER('Bets'!N733),'Bets'!N733,NA())</f>
        <v>#N/A</v>
      </c>
    </row>
    <row r="738" spans="1:2">
      <c r="A738" s="22" t="e">
        <f>IF(ISNUMBER('Bets'!N734),733,NA())</f>
        <v>#N/A</v>
      </c>
      <c r="B738" s="20" t="e">
        <f>IF(ISNUMBER('Bets'!N734),'Bets'!N734,NA())</f>
        <v>#N/A</v>
      </c>
    </row>
    <row r="739" spans="1:2">
      <c r="A739" s="22" t="e">
        <f>IF(ISNUMBER('Bets'!N735),734,NA())</f>
        <v>#N/A</v>
      </c>
      <c r="B739" s="20" t="e">
        <f>IF(ISNUMBER('Bets'!N735),'Bets'!N735,NA())</f>
        <v>#N/A</v>
      </c>
    </row>
    <row r="740" spans="1:2">
      <c r="A740" s="22" t="e">
        <f>IF(ISNUMBER('Bets'!N736),735,NA())</f>
        <v>#N/A</v>
      </c>
      <c r="B740" s="20" t="e">
        <f>IF(ISNUMBER('Bets'!N736),'Bets'!N736,NA())</f>
        <v>#N/A</v>
      </c>
    </row>
    <row r="741" spans="1:2">
      <c r="A741" s="22" t="e">
        <f>IF(ISNUMBER('Bets'!N737),736,NA())</f>
        <v>#N/A</v>
      </c>
      <c r="B741" s="20" t="e">
        <f>IF(ISNUMBER('Bets'!N737),'Bets'!N737,NA())</f>
        <v>#N/A</v>
      </c>
    </row>
    <row r="742" spans="1:2">
      <c r="A742" s="22" t="e">
        <f>IF(ISNUMBER('Bets'!N738),737,NA())</f>
        <v>#N/A</v>
      </c>
      <c r="B742" s="20" t="e">
        <f>IF(ISNUMBER('Bets'!N738),'Bets'!N738,NA())</f>
        <v>#N/A</v>
      </c>
    </row>
    <row r="743" spans="1:2">
      <c r="A743" s="22" t="e">
        <f>IF(ISNUMBER('Bets'!N739),738,NA())</f>
        <v>#N/A</v>
      </c>
      <c r="B743" s="20" t="e">
        <f>IF(ISNUMBER('Bets'!N739),'Bets'!N739,NA())</f>
        <v>#N/A</v>
      </c>
    </row>
    <row r="744" spans="1:2">
      <c r="A744" s="22" t="e">
        <f>IF(ISNUMBER('Bets'!N740),739,NA())</f>
        <v>#N/A</v>
      </c>
      <c r="B744" s="20" t="e">
        <f>IF(ISNUMBER('Bets'!N740),'Bets'!N740,NA())</f>
        <v>#N/A</v>
      </c>
    </row>
    <row r="745" spans="1:2">
      <c r="A745" s="22" t="e">
        <f>IF(ISNUMBER('Bets'!N741),740,NA())</f>
        <v>#N/A</v>
      </c>
      <c r="B745" s="20" t="e">
        <f>IF(ISNUMBER('Bets'!N741),'Bets'!N741,NA())</f>
        <v>#N/A</v>
      </c>
    </row>
    <row r="746" spans="1:2">
      <c r="A746" s="22" t="e">
        <f>IF(ISNUMBER('Bets'!N742),741,NA())</f>
        <v>#N/A</v>
      </c>
      <c r="B746" s="20" t="e">
        <f>IF(ISNUMBER('Bets'!N742),'Bets'!N742,NA())</f>
        <v>#N/A</v>
      </c>
    </row>
    <row r="747" spans="1:2">
      <c r="A747" s="22" t="e">
        <f>IF(ISNUMBER('Bets'!N743),742,NA())</f>
        <v>#N/A</v>
      </c>
      <c r="B747" s="20" t="e">
        <f>IF(ISNUMBER('Bets'!N743),'Bets'!N743,NA())</f>
        <v>#N/A</v>
      </c>
    </row>
    <row r="748" spans="1:2">
      <c r="A748" s="22" t="e">
        <f>IF(ISNUMBER('Bets'!N744),743,NA())</f>
        <v>#N/A</v>
      </c>
      <c r="B748" s="20" t="e">
        <f>IF(ISNUMBER('Bets'!N744),'Bets'!N744,NA())</f>
        <v>#N/A</v>
      </c>
    </row>
    <row r="749" spans="1:2">
      <c r="A749" s="22" t="e">
        <f>IF(ISNUMBER('Bets'!N745),744,NA())</f>
        <v>#N/A</v>
      </c>
      <c r="B749" s="20" t="e">
        <f>IF(ISNUMBER('Bets'!N745),'Bets'!N745,NA())</f>
        <v>#N/A</v>
      </c>
    </row>
    <row r="750" spans="1:2">
      <c r="A750" s="22" t="e">
        <f>IF(ISNUMBER('Bets'!N746),745,NA())</f>
        <v>#N/A</v>
      </c>
      <c r="B750" s="20" t="e">
        <f>IF(ISNUMBER('Bets'!N746),'Bets'!N746,NA())</f>
        <v>#N/A</v>
      </c>
    </row>
    <row r="751" spans="1:2">
      <c r="A751" s="22" t="e">
        <f>IF(ISNUMBER('Bets'!N747),746,NA())</f>
        <v>#N/A</v>
      </c>
      <c r="B751" s="20" t="e">
        <f>IF(ISNUMBER('Bets'!N747),'Bets'!N747,NA())</f>
        <v>#N/A</v>
      </c>
    </row>
    <row r="752" spans="1:2">
      <c r="A752" s="22" t="e">
        <f>IF(ISNUMBER('Bets'!N748),747,NA())</f>
        <v>#N/A</v>
      </c>
      <c r="B752" s="20" t="e">
        <f>IF(ISNUMBER('Bets'!N748),'Bets'!N748,NA())</f>
        <v>#N/A</v>
      </c>
    </row>
    <row r="753" spans="1:2">
      <c r="A753" s="22" t="e">
        <f>IF(ISNUMBER('Bets'!N749),748,NA())</f>
        <v>#N/A</v>
      </c>
      <c r="B753" s="20" t="e">
        <f>IF(ISNUMBER('Bets'!N749),'Bets'!N749,NA())</f>
        <v>#N/A</v>
      </c>
    </row>
    <row r="754" spans="1:2">
      <c r="A754" s="22" t="e">
        <f>IF(ISNUMBER('Bets'!N750),749,NA())</f>
        <v>#N/A</v>
      </c>
      <c r="B754" s="20" t="e">
        <f>IF(ISNUMBER('Bets'!N750),'Bets'!N750,NA())</f>
        <v>#N/A</v>
      </c>
    </row>
    <row r="755" spans="1:2">
      <c r="A755" s="22" t="e">
        <f>IF(ISNUMBER('Bets'!N751),750,NA())</f>
        <v>#N/A</v>
      </c>
      <c r="B755" s="20" t="e">
        <f>IF(ISNUMBER('Bets'!N751),'Bets'!N751,NA())</f>
        <v>#N/A</v>
      </c>
    </row>
    <row r="756" spans="1:2">
      <c r="A756" s="22" t="e">
        <f>IF(ISNUMBER('Bets'!N752),751,NA())</f>
        <v>#N/A</v>
      </c>
      <c r="B756" s="20" t="e">
        <f>IF(ISNUMBER('Bets'!N752),'Bets'!N752,NA())</f>
        <v>#N/A</v>
      </c>
    </row>
    <row r="757" spans="1:2">
      <c r="A757" s="22" t="e">
        <f>IF(ISNUMBER('Bets'!N753),752,NA())</f>
        <v>#N/A</v>
      </c>
      <c r="B757" s="20" t="e">
        <f>IF(ISNUMBER('Bets'!N753),'Bets'!N753,NA())</f>
        <v>#N/A</v>
      </c>
    </row>
    <row r="758" spans="1:2">
      <c r="A758" s="22" t="e">
        <f>IF(ISNUMBER('Bets'!N754),753,NA())</f>
        <v>#N/A</v>
      </c>
      <c r="B758" s="20" t="e">
        <f>IF(ISNUMBER('Bets'!N754),'Bets'!N754,NA())</f>
        <v>#N/A</v>
      </c>
    </row>
    <row r="759" spans="1:2">
      <c r="A759" s="22" t="e">
        <f>IF(ISNUMBER('Bets'!N755),754,NA())</f>
        <v>#N/A</v>
      </c>
      <c r="B759" s="20" t="e">
        <f>IF(ISNUMBER('Bets'!N755),'Bets'!N755,NA())</f>
        <v>#N/A</v>
      </c>
    </row>
    <row r="760" spans="1:2">
      <c r="A760" s="22" t="e">
        <f>IF(ISNUMBER('Bets'!N756),755,NA())</f>
        <v>#N/A</v>
      </c>
      <c r="B760" s="20" t="e">
        <f>IF(ISNUMBER('Bets'!N756),'Bets'!N756,NA())</f>
        <v>#N/A</v>
      </c>
    </row>
    <row r="761" spans="1:2">
      <c r="A761" s="22" t="e">
        <f>IF(ISNUMBER('Bets'!N757),756,NA())</f>
        <v>#N/A</v>
      </c>
      <c r="B761" s="20" t="e">
        <f>IF(ISNUMBER('Bets'!N757),'Bets'!N757,NA())</f>
        <v>#N/A</v>
      </c>
    </row>
    <row r="762" spans="1:2">
      <c r="A762" s="22" t="e">
        <f>IF(ISNUMBER('Bets'!N758),757,NA())</f>
        <v>#N/A</v>
      </c>
      <c r="B762" s="20" t="e">
        <f>IF(ISNUMBER('Bets'!N758),'Bets'!N758,NA())</f>
        <v>#N/A</v>
      </c>
    </row>
    <row r="763" spans="1:2">
      <c r="A763" s="22" t="e">
        <f>IF(ISNUMBER('Bets'!N759),758,NA())</f>
        <v>#N/A</v>
      </c>
      <c r="B763" s="20" t="e">
        <f>IF(ISNUMBER('Bets'!N759),'Bets'!N759,NA())</f>
        <v>#N/A</v>
      </c>
    </row>
    <row r="764" spans="1:2">
      <c r="A764" s="22" t="e">
        <f>IF(ISNUMBER('Bets'!N760),759,NA())</f>
        <v>#N/A</v>
      </c>
      <c r="B764" s="20" t="e">
        <f>IF(ISNUMBER('Bets'!N760),'Bets'!N760,NA())</f>
        <v>#N/A</v>
      </c>
    </row>
    <row r="765" spans="1:2">
      <c r="A765" s="22" t="e">
        <f>IF(ISNUMBER('Bets'!N761),760,NA())</f>
        <v>#N/A</v>
      </c>
      <c r="B765" s="20" t="e">
        <f>IF(ISNUMBER('Bets'!N761),'Bets'!N761,NA())</f>
        <v>#N/A</v>
      </c>
    </row>
    <row r="766" spans="1:2">
      <c r="A766" s="22" t="e">
        <f>IF(ISNUMBER('Bets'!N762),761,NA())</f>
        <v>#N/A</v>
      </c>
      <c r="B766" s="20" t="e">
        <f>IF(ISNUMBER('Bets'!N762),'Bets'!N762,NA())</f>
        <v>#N/A</v>
      </c>
    </row>
    <row r="767" spans="1:2">
      <c r="A767" s="22" t="e">
        <f>IF(ISNUMBER('Bets'!N763),762,NA())</f>
        <v>#N/A</v>
      </c>
      <c r="B767" s="20" t="e">
        <f>IF(ISNUMBER('Bets'!N763),'Bets'!N763,NA())</f>
        <v>#N/A</v>
      </c>
    </row>
    <row r="768" spans="1:2">
      <c r="A768" s="22" t="e">
        <f>IF(ISNUMBER('Bets'!N764),763,NA())</f>
        <v>#N/A</v>
      </c>
      <c r="B768" s="20" t="e">
        <f>IF(ISNUMBER('Bets'!N764),'Bets'!N764,NA())</f>
        <v>#N/A</v>
      </c>
    </row>
    <row r="769" spans="1:2">
      <c r="A769" s="22" t="e">
        <f>IF(ISNUMBER('Bets'!N765),764,NA())</f>
        <v>#N/A</v>
      </c>
      <c r="B769" s="20" t="e">
        <f>IF(ISNUMBER('Bets'!N765),'Bets'!N765,NA())</f>
        <v>#N/A</v>
      </c>
    </row>
    <row r="770" spans="1:2">
      <c r="A770" s="22" t="e">
        <f>IF(ISNUMBER('Bets'!N766),765,NA())</f>
        <v>#N/A</v>
      </c>
      <c r="B770" s="20" t="e">
        <f>IF(ISNUMBER('Bets'!N766),'Bets'!N766,NA())</f>
        <v>#N/A</v>
      </c>
    </row>
    <row r="771" spans="1:2">
      <c r="A771" s="22" t="e">
        <f>IF(ISNUMBER('Bets'!N767),766,NA())</f>
        <v>#N/A</v>
      </c>
      <c r="B771" s="20" t="e">
        <f>IF(ISNUMBER('Bets'!N767),'Bets'!N767,NA())</f>
        <v>#N/A</v>
      </c>
    </row>
    <row r="772" spans="1:2">
      <c r="A772" s="22" t="e">
        <f>IF(ISNUMBER('Bets'!N768),767,NA())</f>
        <v>#N/A</v>
      </c>
      <c r="B772" s="20" t="e">
        <f>IF(ISNUMBER('Bets'!N768),'Bets'!N768,NA())</f>
        <v>#N/A</v>
      </c>
    </row>
    <row r="773" spans="1:2">
      <c r="A773" s="22" t="e">
        <f>IF(ISNUMBER('Bets'!N769),768,NA())</f>
        <v>#N/A</v>
      </c>
      <c r="B773" s="20" t="e">
        <f>IF(ISNUMBER('Bets'!N769),'Bets'!N769,NA())</f>
        <v>#N/A</v>
      </c>
    </row>
    <row r="774" spans="1:2">
      <c r="A774" s="22" t="e">
        <f>IF(ISNUMBER('Bets'!N770),769,NA())</f>
        <v>#N/A</v>
      </c>
      <c r="B774" s="20" t="e">
        <f>IF(ISNUMBER('Bets'!N770),'Bets'!N770,NA())</f>
        <v>#N/A</v>
      </c>
    </row>
    <row r="775" spans="1:2">
      <c r="A775" s="22" t="e">
        <f>IF(ISNUMBER('Bets'!N771),770,NA())</f>
        <v>#N/A</v>
      </c>
      <c r="B775" s="20" t="e">
        <f>IF(ISNUMBER('Bets'!N771),'Bets'!N771,NA())</f>
        <v>#N/A</v>
      </c>
    </row>
    <row r="776" spans="1:2">
      <c r="A776" s="22" t="e">
        <f>IF(ISNUMBER('Bets'!N772),771,NA())</f>
        <v>#N/A</v>
      </c>
      <c r="B776" s="20" t="e">
        <f>IF(ISNUMBER('Bets'!N772),'Bets'!N772,NA())</f>
        <v>#N/A</v>
      </c>
    </row>
    <row r="777" spans="1:2">
      <c r="A777" s="22" t="e">
        <f>IF(ISNUMBER('Bets'!N773),772,NA())</f>
        <v>#N/A</v>
      </c>
      <c r="B777" s="20" t="e">
        <f>IF(ISNUMBER('Bets'!N773),'Bets'!N773,NA())</f>
        <v>#N/A</v>
      </c>
    </row>
    <row r="778" spans="1:2">
      <c r="A778" s="22" t="e">
        <f>IF(ISNUMBER('Bets'!N774),773,NA())</f>
        <v>#N/A</v>
      </c>
      <c r="B778" s="20" t="e">
        <f>IF(ISNUMBER('Bets'!N774),'Bets'!N774,NA())</f>
        <v>#N/A</v>
      </c>
    </row>
    <row r="779" spans="1:2">
      <c r="A779" s="22" t="e">
        <f>IF(ISNUMBER('Bets'!N775),774,NA())</f>
        <v>#N/A</v>
      </c>
      <c r="B779" s="20" t="e">
        <f>IF(ISNUMBER('Bets'!N775),'Bets'!N775,NA())</f>
        <v>#N/A</v>
      </c>
    </row>
    <row r="780" spans="1:2">
      <c r="A780" s="22" t="e">
        <f>IF(ISNUMBER('Bets'!N776),775,NA())</f>
        <v>#N/A</v>
      </c>
      <c r="B780" s="20" t="e">
        <f>IF(ISNUMBER('Bets'!N776),'Bets'!N776,NA())</f>
        <v>#N/A</v>
      </c>
    </row>
    <row r="781" spans="1:2">
      <c r="A781" s="22" t="e">
        <f>IF(ISNUMBER('Bets'!N777),776,NA())</f>
        <v>#N/A</v>
      </c>
      <c r="B781" s="20" t="e">
        <f>IF(ISNUMBER('Bets'!N777),'Bets'!N777,NA())</f>
        <v>#N/A</v>
      </c>
    </row>
    <row r="782" spans="1:2">
      <c r="A782" s="22" t="e">
        <f>IF(ISNUMBER('Bets'!N778),777,NA())</f>
        <v>#N/A</v>
      </c>
      <c r="B782" s="20" t="e">
        <f>IF(ISNUMBER('Bets'!N778),'Bets'!N778,NA())</f>
        <v>#N/A</v>
      </c>
    </row>
    <row r="783" spans="1:2">
      <c r="A783" s="22" t="e">
        <f>IF(ISNUMBER('Bets'!N779),778,NA())</f>
        <v>#N/A</v>
      </c>
      <c r="B783" s="20" t="e">
        <f>IF(ISNUMBER('Bets'!N779),'Bets'!N779,NA())</f>
        <v>#N/A</v>
      </c>
    </row>
    <row r="784" spans="1:2">
      <c r="A784" s="22" t="e">
        <f>IF(ISNUMBER('Bets'!N780),779,NA())</f>
        <v>#N/A</v>
      </c>
      <c r="B784" s="20" t="e">
        <f>IF(ISNUMBER('Bets'!N780),'Bets'!N780,NA())</f>
        <v>#N/A</v>
      </c>
    </row>
    <row r="785" spans="1:2">
      <c r="A785" s="22" t="e">
        <f>IF(ISNUMBER('Bets'!N781),780,NA())</f>
        <v>#N/A</v>
      </c>
      <c r="B785" s="20" t="e">
        <f>IF(ISNUMBER('Bets'!N781),'Bets'!N781,NA())</f>
        <v>#N/A</v>
      </c>
    </row>
    <row r="786" spans="1:2">
      <c r="A786" s="22" t="e">
        <f>IF(ISNUMBER('Bets'!N782),781,NA())</f>
        <v>#N/A</v>
      </c>
      <c r="B786" s="20" t="e">
        <f>IF(ISNUMBER('Bets'!N782),'Bets'!N782,NA())</f>
        <v>#N/A</v>
      </c>
    </row>
    <row r="787" spans="1:2">
      <c r="A787" s="22" t="e">
        <f>IF(ISNUMBER('Bets'!N783),782,NA())</f>
        <v>#N/A</v>
      </c>
      <c r="B787" s="20" t="e">
        <f>IF(ISNUMBER('Bets'!N783),'Bets'!N783,NA())</f>
        <v>#N/A</v>
      </c>
    </row>
    <row r="788" spans="1:2">
      <c r="A788" s="22" t="e">
        <f>IF(ISNUMBER('Bets'!N784),783,NA())</f>
        <v>#N/A</v>
      </c>
      <c r="B788" s="20" t="e">
        <f>IF(ISNUMBER('Bets'!N784),'Bets'!N784,NA())</f>
        <v>#N/A</v>
      </c>
    </row>
    <row r="789" spans="1:2">
      <c r="A789" s="22" t="e">
        <f>IF(ISNUMBER('Bets'!N785),784,NA())</f>
        <v>#N/A</v>
      </c>
      <c r="B789" s="20" t="e">
        <f>IF(ISNUMBER('Bets'!N785),'Bets'!N785,NA())</f>
        <v>#N/A</v>
      </c>
    </row>
    <row r="790" spans="1:2">
      <c r="A790" s="22" t="e">
        <f>IF(ISNUMBER('Bets'!N786),785,NA())</f>
        <v>#N/A</v>
      </c>
      <c r="B790" s="20" t="e">
        <f>IF(ISNUMBER('Bets'!N786),'Bets'!N786,NA())</f>
        <v>#N/A</v>
      </c>
    </row>
    <row r="791" spans="1:2">
      <c r="A791" s="22" t="e">
        <f>IF(ISNUMBER('Bets'!N787),786,NA())</f>
        <v>#N/A</v>
      </c>
      <c r="B791" s="20" t="e">
        <f>IF(ISNUMBER('Bets'!N787),'Bets'!N787,NA())</f>
        <v>#N/A</v>
      </c>
    </row>
    <row r="792" spans="1:2">
      <c r="A792" s="22" t="e">
        <f>IF(ISNUMBER('Bets'!N788),787,NA())</f>
        <v>#N/A</v>
      </c>
      <c r="B792" s="20" t="e">
        <f>IF(ISNUMBER('Bets'!N788),'Bets'!N788,NA())</f>
        <v>#N/A</v>
      </c>
    </row>
    <row r="793" spans="1:2">
      <c r="A793" s="22" t="e">
        <f>IF(ISNUMBER('Bets'!N789),788,NA())</f>
        <v>#N/A</v>
      </c>
      <c r="B793" s="20" t="e">
        <f>IF(ISNUMBER('Bets'!N789),'Bets'!N789,NA())</f>
        <v>#N/A</v>
      </c>
    </row>
    <row r="794" spans="1:2">
      <c r="A794" s="22" t="e">
        <f>IF(ISNUMBER('Bets'!N790),789,NA())</f>
        <v>#N/A</v>
      </c>
      <c r="B794" s="20" t="e">
        <f>IF(ISNUMBER('Bets'!N790),'Bets'!N790,NA())</f>
        <v>#N/A</v>
      </c>
    </row>
    <row r="795" spans="1:2">
      <c r="A795" s="22" t="e">
        <f>IF(ISNUMBER('Bets'!N791),790,NA())</f>
        <v>#N/A</v>
      </c>
      <c r="B795" s="20" t="e">
        <f>IF(ISNUMBER('Bets'!N791),'Bets'!N791,NA())</f>
        <v>#N/A</v>
      </c>
    </row>
    <row r="796" spans="1:2">
      <c r="A796" s="22" t="e">
        <f>IF(ISNUMBER('Bets'!N792),791,NA())</f>
        <v>#N/A</v>
      </c>
      <c r="B796" s="20" t="e">
        <f>IF(ISNUMBER('Bets'!N792),'Bets'!N792,NA())</f>
        <v>#N/A</v>
      </c>
    </row>
    <row r="797" spans="1:2">
      <c r="A797" s="22" t="e">
        <f>IF(ISNUMBER('Bets'!N793),792,NA())</f>
        <v>#N/A</v>
      </c>
      <c r="B797" s="20" t="e">
        <f>IF(ISNUMBER('Bets'!N793),'Bets'!N793,NA())</f>
        <v>#N/A</v>
      </c>
    </row>
    <row r="798" spans="1:2">
      <c r="A798" s="22" t="e">
        <f>IF(ISNUMBER('Bets'!N794),793,NA())</f>
        <v>#N/A</v>
      </c>
      <c r="B798" s="20" t="e">
        <f>IF(ISNUMBER('Bets'!N794),'Bets'!N794,NA())</f>
        <v>#N/A</v>
      </c>
    </row>
    <row r="799" spans="1:2">
      <c r="A799" s="22" t="e">
        <f>IF(ISNUMBER('Bets'!N795),794,NA())</f>
        <v>#N/A</v>
      </c>
      <c r="B799" s="20" t="e">
        <f>IF(ISNUMBER('Bets'!N795),'Bets'!N795,NA())</f>
        <v>#N/A</v>
      </c>
    </row>
    <row r="800" spans="1:2">
      <c r="A800" s="22" t="e">
        <f>IF(ISNUMBER('Bets'!N796),795,NA())</f>
        <v>#N/A</v>
      </c>
      <c r="B800" s="20" t="e">
        <f>IF(ISNUMBER('Bets'!N796),'Bets'!N796,NA())</f>
        <v>#N/A</v>
      </c>
    </row>
    <row r="801" spans="1:2">
      <c r="A801" s="22" t="e">
        <f>IF(ISNUMBER('Bets'!N797),796,NA())</f>
        <v>#N/A</v>
      </c>
      <c r="B801" s="20" t="e">
        <f>IF(ISNUMBER('Bets'!N797),'Bets'!N797,NA())</f>
        <v>#N/A</v>
      </c>
    </row>
    <row r="802" spans="1:2">
      <c r="A802" s="22" t="e">
        <f>IF(ISNUMBER('Bets'!N798),797,NA())</f>
        <v>#N/A</v>
      </c>
      <c r="B802" s="20" t="e">
        <f>IF(ISNUMBER('Bets'!N798),'Bets'!N798,NA())</f>
        <v>#N/A</v>
      </c>
    </row>
    <row r="803" spans="1:2">
      <c r="A803" s="22" t="e">
        <f>IF(ISNUMBER('Bets'!N799),798,NA())</f>
        <v>#N/A</v>
      </c>
      <c r="B803" s="20" t="e">
        <f>IF(ISNUMBER('Bets'!N799),'Bets'!N799,NA())</f>
        <v>#N/A</v>
      </c>
    </row>
    <row r="804" spans="1:2">
      <c r="A804" s="22" t="e">
        <f>IF(ISNUMBER('Bets'!N800),799,NA())</f>
        <v>#N/A</v>
      </c>
      <c r="B804" s="20" t="e">
        <f>IF(ISNUMBER('Bets'!N800),'Bets'!N800,NA())</f>
        <v>#N/A</v>
      </c>
    </row>
    <row r="805" spans="1:2">
      <c r="A805" s="22" t="e">
        <f>IF(ISNUMBER('Bets'!N801),800,NA())</f>
        <v>#N/A</v>
      </c>
      <c r="B805" s="20" t="e">
        <f>IF(ISNUMBER('Bets'!N801),'Bets'!N801,NA())</f>
        <v>#N/A</v>
      </c>
    </row>
    <row r="806" spans="1:2">
      <c r="A806" s="22" t="e">
        <f>IF(ISNUMBER('Bets'!N802),801,NA())</f>
        <v>#N/A</v>
      </c>
      <c r="B806" s="20" t="e">
        <f>IF(ISNUMBER('Bets'!N802),'Bets'!N802,NA())</f>
        <v>#N/A</v>
      </c>
    </row>
    <row r="807" spans="1:2">
      <c r="A807" s="22" t="e">
        <f>IF(ISNUMBER('Bets'!N803),802,NA())</f>
        <v>#N/A</v>
      </c>
      <c r="B807" s="20" t="e">
        <f>IF(ISNUMBER('Bets'!N803),'Bets'!N803,NA())</f>
        <v>#N/A</v>
      </c>
    </row>
    <row r="808" spans="1:2">
      <c r="A808" s="22" t="e">
        <f>IF(ISNUMBER('Bets'!N804),803,NA())</f>
        <v>#N/A</v>
      </c>
      <c r="B808" s="20" t="e">
        <f>IF(ISNUMBER('Bets'!N804),'Bets'!N804,NA())</f>
        <v>#N/A</v>
      </c>
    </row>
    <row r="809" spans="1:2">
      <c r="A809" s="22" t="e">
        <f>IF(ISNUMBER('Bets'!N805),804,NA())</f>
        <v>#N/A</v>
      </c>
      <c r="B809" s="20" t="e">
        <f>IF(ISNUMBER('Bets'!N805),'Bets'!N805,NA())</f>
        <v>#N/A</v>
      </c>
    </row>
    <row r="810" spans="1:2">
      <c r="A810" s="22" t="e">
        <f>IF(ISNUMBER('Bets'!N806),805,NA())</f>
        <v>#N/A</v>
      </c>
      <c r="B810" s="20" t="e">
        <f>IF(ISNUMBER('Bets'!N806),'Bets'!N806,NA())</f>
        <v>#N/A</v>
      </c>
    </row>
    <row r="811" spans="1:2">
      <c r="A811" s="22" t="e">
        <f>IF(ISNUMBER('Bets'!N807),806,NA())</f>
        <v>#N/A</v>
      </c>
      <c r="B811" s="20" t="e">
        <f>IF(ISNUMBER('Bets'!N807),'Bets'!N807,NA())</f>
        <v>#N/A</v>
      </c>
    </row>
    <row r="812" spans="1:2">
      <c r="A812" s="22" t="e">
        <f>IF(ISNUMBER('Bets'!N808),807,NA())</f>
        <v>#N/A</v>
      </c>
      <c r="B812" s="20" t="e">
        <f>IF(ISNUMBER('Bets'!N808),'Bets'!N808,NA())</f>
        <v>#N/A</v>
      </c>
    </row>
    <row r="813" spans="1:2">
      <c r="A813" s="22" t="e">
        <f>IF(ISNUMBER('Bets'!N809),808,NA())</f>
        <v>#N/A</v>
      </c>
      <c r="B813" s="20" t="e">
        <f>IF(ISNUMBER('Bets'!N809),'Bets'!N809,NA())</f>
        <v>#N/A</v>
      </c>
    </row>
    <row r="814" spans="1:2">
      <c r="A814" s="22" t="e">
        <f>IF(ISNUMBER('Bets'!N810),809,NA())</f>
        <v>#N/A</v>
      </c>
      <c r="B814" s="20" t="e">
        <f>IF(ISNUMBER('Bets'!N810),'Bets'!N810,NA())</f>
        <v>#N/A</v>
      </c>
    </row>
    <row r="815" spans="1:2">
      <c r="A815" s="22" t="e">
        <f>IF(ISNUMBER('Bets'!N811),810,NA())</f>
        <v>#N/A</v>
      </c>
      <c r="B815" s="20" t="e">
        <f>IF(ISNUMBER('Bets'!N811),'Bets'!N811,NA())</f>
        <v>#N/A</v>
      </c>
    </row>
    <row r="816" spans="1:2">
      <c r="A816" s="22" t="e">
        <f>IF(ISNUMBER('Bets'!N812),811,NA())</f>
        <v>#N/A</v>
      </c>
      <c r="B816" s="20" t="e">
        <f>IF(ISNUMBER('Bets'!N812),'Bets'!N812,NA())</f>
        <v>#N/A</v>
      </c>
    </row>
    <row r="817" spans="1:2">
      <c r="A817" s="22" t="e">
        <f>IF(ISNUMBER('Bets'!N813),812,NA())</f>
        <v>#N/A</v>
      </c>
      <c r="B817" s="20" t="e">
        <f>IF(ISNUMBER('Bets'!N813),'Bets'!N813,NA())</f>
        <v>#N/A</v>
      </c>
    </row>
    <row r="818" spans="1:2">
      <c r="A818" s="22" t="e">
        <f>IF(ISNUMBER('Bets'!N814),813,NA())</f>
        <v>#N/A</v>
      </c>
      <c r="B818" s="20" t="e">
        <f>IF(ISNUMBER('Bets'!N814),'Bets'!N814,NA())</f>
        <v>#N/A</v>
      </c>
    </row>
    <row r="819" spans="1:2">
      <c r="A819" s="22" t="e">
        <f>IF(ISNUMBER('Bets'!N815),814,NA())</f>
        <v>#N/A</v>
      </c>
      <c r="B819" s="20" t="e">
        <f>IF(ISNUMBER('Bets'!N815),'Bets'!N815,NA())</f>
        <v>#N/A</v>
      </c>
    </row>
    <row r="820" spans="1:2">
      <c r="A820" s="22" t="e">
        <f>IF(ISNUMBER('Bets'!N816),815,NA())</f>
        <v>#N/A</v>
      </c>
      <c r="B820" s="20" t="e">
        <f>IF(ISNUMBER('Bets'!N816),'Bets'!N816,NA())</f>
        <v>#N/A</v>
      </c>
    </row>
    <row r="821" spans="1:2">
      <c r="A821" s="22" t="e">
        <f>IF(ISNUMBER('Bets'!N817),816,NA())</f>
        <v>#N/A</v>
      </c>
      <c r="B821" s="20" t="e">
        <f>IF(ISNUMBER('Bets'!N817),'Bets'!N817,NA())</f>
        <v>#N/A</v>
      </c>
    </row>
    <row r="822" spans="1:2">
      <c r="A822" s="22" t="e">
        <f>IF(ISNUMBER('Bets'!N818),817,NA())</f>
        <v>#N/A</v>
      </c>
      <c r="B822" s="20" t="e">
        <f>IF(ISNUMBER('Bets'!N818),'Bets'!N818,NA())</f>
        <v>#N/A</v>
      </c>
    </row>
    <row r="823" spans="1:2">
      <c r="A823" s="22" t="e">
        <f>IF(ISNUMBER('Bets'!N819),818,NA())</f>
        <v>#N/A</v>
      </c>
      <c r="B823" s="20" t="e">
        <f>IF(ISNUMBER('Bets'!N819),'Bets'!N819,NA())</f>
        <v>#N/A</v>
      </c>
    </row>
    <row r="824" spans="1:2">
      <c r="A824" s="22" t="e">
        <f>IF(ISNUMBER('Bets'!N820),819,NA())</f>
        <v>#N/A</v>
      </c>
      <c r="B824" s="20" t="e">
        <f>IF(ISNUMBER('Bets'!N820),'Bets'!N820,NA())</f>
        <v>#N/A</v>
      </c>
    </row>
    <row r="825" spans="1:2">
      <c r="A825" s="22" t="e">
        <f>IF(ISNUMBER('Bets'!N821),820,NA())</f>
        <v>#N/A</v>
      </c>
      <c r="B825" s="20" t="e">
        <f>IF(ISNUMBER('Bets'!N821),'Bets'!N821,NA())</f>
        <v>#N/A</v>
      </c>
    </row>
    <row r="826" spans="1:2">
      <c r="A826" s="22" t="e">
        <f>IF(ISNUMBER('Bets'!N822),821,NA())</f>
        <v>#N/A</v>
      </c>
      <c r="B826" s="20" t="e">
        <f>IF(ISNUMBER('Bets'!N822),'Bets'!N822,NA())</f>
        <v>#N/A</v>
      </c>
    </row>
    <row r="827" spans="1:2">
      <c r="A827" s="22" t="e">
        <f>IF(ISNUMBER('Bets'!N823),822,NA())</f>
        <v>#N/A</v>
      </c>
      <c r="B827" s="20" t="e">
        <f>IF(ISNUMBER('Bets'!N823),'Bets'!N823,NA())</f>
        <v>#N/A</v>
      </c>
    </row>
    <row r="828" spans="1:2">
      <c r="A828" s="22" t="e">
        <f>IF(ISNUMBER('Bets'!N824),823,NA())</f>
        <v>#N/A</v>
      </c>
      <c r="B828" s="20" t="e">
        <f>IF(ISNUMBER('Bets'!N824),'Bets'!N824,NA())</f>
        <v>#N/A</v>
      </c>
    </row>
    <row r="829" spans="1:2">
      <c r="A829" s="22" t="e">
        <f>IF(ISNUMBER('Bets'!N825),824,NA())</f>
        <v>#N/A</v>
      </c>
      <c r="B829" s="20" t="e">
        <f>IF(ISNUMBER('Bets'!N825),'Bets'!N825,NA())</f>
        <v>#N/A</v>
      </c>
    </row>
    <row r="830" spans="1:2">
      <c r="A830" s="22" t="e">
        <f>IF(ISNUMBER('Bets'!N826),825,NA())</f>
        <v>#N/A</v>
      </c>
      <c r="B830" s="20" t="e">
        <f>IF(ISNUMBER('Bets'!N826),'Bets'!N826,NA())</f>
        <v>#N/A</v>
      </c>
    </row>
    <row r="831" spans="1:2">
      <c r="A831" s="22" t="e">
        <f>IF(ISNUMBER('Bets'!N827),826,NA())</f>
        <v>#N/A</v>
      </c>
      <c r="B831" s="20" t="e">
        <f>IF(ISNUMBER('Bets'!N827),'Bets'!N827,NA())</f>
        <v>#N/A</v>
      </c>
    </row>
    <row r="832" spans="1:2">
      <c r="A832" s="22" t="e">
        <f>IF(ISNUMBER('Bets'!N828),827,NA())</f>
        <v>#N/A</v>
      </c>
      <c r="B832" s="20" t="e">
        <f>IF(ISNUMBER('Bets'!N828),'Bets'!N828,NA())</f>
        <v>#N/A</v>
      </c>
    </row>
    <row r="833" spans="1:2">
      <c r="A833" s="22" t="e">
        <f>IF(ISNUMBER('Bets'!N829),828,NA())</f>
        <v>#N/A</v>
      </c>
      <c r="B833" s="20" t="e">
        <f>IF(ISNUMBER('Bets'!N829),'Bets'!N829,NA())</f>
        <v>#N/A</v>
      </c>
    </row>
    <row r="834" spans="1:2">
      <c r="A834" s="22" t="e">
        <f>IF(ISNUMBER('Bets'!N830),829,NA())</f>
        <v>#N/A</v>
      </c>
      <c r="B834" s="20" t="e">
        <f>IF(ISNUMBER('Bets'!N830),'Bets'!N830,NA())</f>
        <v>#N/A</v>
      </c>
    </row>
    <row r="835" spans="1:2">
      <c r="A835" s="22" t="e">
        <f>IF(ISNUMBER('Bets'!N831),830,NA())</f>
        <v>#N/A</v>
      </c>
      <c r="B835" s="20" t="e">
        <f>IF(ISNUMBER('Bets'!N831),'Bets'!N831,NA())</f>
        <v>#N/A</v>
      </c>
    </row>
    <row r="836" spans="1:2">
      <c r="A836" s="22" t="e">
        <f>IF(ISNUMBER('Bets'!N832),831,NA())</f>
        <v>#N/A</v>
      </c>
      <c r="B836" s="20" t="e">
        <f>IF(ISNUMBER('Bets'!N832),'Bets'!N832,NA())</f>
        <v>#N/A</v>
      </c>
    </row>
    <row r="837" spans="1:2">
      <c r="A837" s="22" t="e">
        <f>IF(ISNUMBER('Bets'!N833),832,NA())</f>
        <v>#N/A</v>
      </c>
      <c r="B837" s="20" t="e">
        <f>IF(ISNUMBER('Bets'!N833),'Bets'!N833,NA())</f>
        <v>#N/A</v>
      </c>
    </row>
    <row r="838" spans="1:2">
      <c r="A838" s="22" t="e">
        <f>IF(ISNUMBER('Bets'!N834),833,NA())</f>
        <v>#N/A</v>
      </c>
      <c r="B838" s="20" t="e">
        <f>IF(ISNUMBER('Bets'!N834),'Bets'!N834,NA())</f>
        <v>#N/A</v>
      </c>
    </row>
    <row r="839" spans="1:2">
      <c r="A839" s="22" t="e">
        <f>IF(ISNUMBER('Bets'!N835),834,NA())</f>
        <v>#N/A</v>
      </c>
      <c r="B839" s="20" t="e">
        <f>IF(ISNUMBER('Bets'!N835),'Bets'!N835,NA())</f>
        <v>#N/A</v>
      </c>
    </row>
    <row r="840" spans="1:2">
      <c r="A840" s="22" t="e">
        <f>IF(ISNUMBER('Bets'!N836),835,NA())</f>
        <v>#N/A</v>
      </c>
      <c r="B840" s="20" t="e">
        <f>IF(ISNUMBER('Bets'!N836),'Bets'!N836,NA())</f>
        <v>#N/A</v>
      </c>
    </row>
    <row r="841" spans="1:2">
      <c r="A841" s="22" t="e">
        <f>IF(ISNUMBER('Bets'!N837),836,NA())</f>
        <v>#N/A</v>
      </c>
      <c r="B841" s="20" t="e">
        <f>IF(ISNUMBER('Bets'!N837),'Bets'!N837,NA())</f>
        <v>#N/A</v>
      </c>
    </row>
    <row r="842" spans="1:2">
      <c r="A842" s="22" t="e">
        <f>IF(ISNUMBER('Bets'!N838),837,NA())</f>
        <v>#N/A</v>
      </c>
      <c r="B842" s="20" t="e">
        <f>IF(ISNUMBER('Bets'!N838),'Bets'!N838,NA())</f>
        <v>#N/A</v>
      </c>
    </row>
    <row r="843" spans="1:2">
      <c r="A843" s="22" t="e">
        <f>IF(ISNUMBER('Bets'!N839),838,NA())</f>
        <v>#N/A</v>
      </c>
      <c r="B843" s="20" t="e">
        <f>IF(ISNUMBER('Bets'!N839),'Bets'!N839,NA())</f>
        <v>#N/A</v>
      </c>
    </row>
    <row r="844" spans="1:2">
      <c r="A844" s="22" t="e">
        <f>IF(ISNUMBER('Bets'!N840),839,NA())</f>
        <v>#N/A</v>
      </c>
      <c r="B844" s="20" t="e">
        <f>IF(ISNUMBER('Bets'!N840),'Bets'!N840,NA())</f>
        <v>#N/A</v>
      </c>
    </row>
    <row r="845" spans="1:2">
      <c r="A845" s="22" t="e">
        <f>IF(ISNUMBER('Bets'!N841),840,NA())</f>
        <v>#N/A</v>
      </c>
      <c r="B845" s="20" t="e">
        <f>IF(ISNUMBER('Bets'!N841),'Bets'!N841,NA())</f>
        <v>#N/A</v>
      </c>
    </row>
    <row r="846" spans="1:2">
      <c r="A846" s="22" t="e">
        <f>IF(ISNUMBER('Bets'!N842),841,NA())</f>
        <v>#N/A</v>
      </c>
      <c r="B846" s="20" t="e">
        <f>IF(ISNUMBER('Bets'!N842),'Bets'!N842,NA())</f>
        <v>#N/A</v>
      </c>
    </row>
    <row r="847" spans="1:2">
      <c r="A847" s="22" t="e">
        <f>IF(ISNUMBER('Bets'!N843),842,NA())</f>
        <v>#N/A</v>
      </c>
      <c r="B847" s="20" t="e">
        <f>IF(ISNUMBER('Bets'!N843),'Bets'!N843,NA())</f>
        <v>#N/A</v>
      </c>
    </row>
    <row r="848" spans="1:2">
      <c r="A848" s="22" t="e">
        <f>IF(ISNUMBER('Bets'!N844),843,NA())</f>
        <v>#N/A</v>
      </c>
      <c r="B848" s="20" t="e">
        <f>IF(ISNUMBER('Bets'!N844),'Bets'!N844,NA())</f>
        <v>#N/A</v>
      </c>
    </row>
    <row r="849" spans="1:2">
      <c r="A849" s="22" t="e">
        <f>IF(ISNUMBER('Bets'!N845),844,NA())</f>
        <v>#N/A</v>
      </c>
      <c r="B849" s="20" t="e">
        <f>IF(ISNUMBER('Bets'!N845),'Bets'!N845,NA())</f>
        <v>#N/A</v>
      </c>
    </row>
    <row r="850" spans="1:2">
      <c r="A850" s="22" t="e">
        <f>IF(ISNUMBER('Bets'!N846),845,NA())</f>
        <v>#N/A</v>
      </c>
      <c r="B850" s="20" t="e">
        <f>IF(ISNUMBER('Bets'!N846),'Bets'!N846,NA())</f>
        <v>#N/A</v>
      </c>
    </row>
    <row r="851" spans="1:2">
      <c r="A851" s="22" t="e">
        <f>IF(ISNUMBER('Bets'!N847),846,NA())</f>
        <v>#N/A</v>
      </c>
      <c r="B851" s="20" t="e">
        <f>IF(ISNUMBER('Bets'!N847),'Bets'!N847,NA())</f>
        <v>#N/A</v>
      </c>
    </row>
    <row r="852" spans="1:2">
      <c r="A852" s="22" t="e">
        <f>IF(ISNUMBER('Bets'!N848),847,NA())</f>
        <v>#N/A</v>
      </c>
      <c r="B852" s="20" t="e">
        <f>IF(ISNUMBER('Bets'!N848),'Bets'!N848,NA())</f>
        <v>#N/A</v>
      </c>
    </row>
    <row r="853" spans="1:2">
      <c r="A853" s="22" t="e">
        <f>IF(ISNUMBER('Bets'!N849),848,NA())</f>
        <v>#N/A</v>
      </c>
      <c r="B853" s="20" t="e">
        <f>IF(ISNUMBER('Bets'!N849),'Bets'!N849,NA())</f>
        <v>#N/A</v>
      </c>
    </row>
    <row r="854" spans="1:2">
      <c r="A854" s="22" t="e">
        <f>IF(ISNUMBER('Bets'!N850),849,NA())</f>
        <v>#N/A</v>
      </c>
      <c r="B854" s="20" t="e">
        <f>IF(ISNUMBER('Bets'!N850),'Bets'!N850,NA())</f>
        <v>#N/A</v>
      </c>
    </row>
    <row r="855" spans="1:2">
      <c r="A855" s="22" t="e">
        <f>IF(ISNUMBER('Bets'!N851),850,NA())</f>
        <v>#N/A</v>
      </c>
      <c r="B855" s="20" t="e">
        <f>IF(ISNUMBER('Bets'!N851),'Bets'!N851,NA())</f>
        <v>#N/A</v>
      </c>
    </row>
    <row r="856" spans="1:2">
      <c r="A856" s="22" t="e">
        <f>IF(ISNUMBER('Bets'!N852),851,NA())</f>
        <v>#N/A</v>
      </c>
      <c r="B856" s="20" t="e">
        <f>IF(ISNUMBER('Bets'!N852),'Bets'!N852,NA())</f>
        <v>#N/A</v>
      </c>
    </row>
    <row r="857" spans="1:2">
      <c r="A857" s="22" t="e">
        <f>IF(ISNUMBER('Bets'!N853),852,NA())</f>
        <v>#N/A</v>
      </c>
      <c r="B857" s="20" t="e">
        <f>IF(ISNUMBER('Bets'!N853),'Bets'!N853,NA())</f>
        <v>#N/A</v>
      </c>
    </row>
    <row r="858" spans="1:2">
      <c r="A858" s="22" t="e">
        <f>IF(ISNUMBER('Bets'!N854),853,NA())</f>
        <v>#N/A</v>
      </c>
      <c r="B858" s="20" t="e">
        <f>IF(ISNUMBER('Bets'!N854),'Bets'!N854,NA())</f>
        <v>#N/A</v>
      </c>
    </row>
    <row r="859" spans="1:2">
      <c r="A859" s="22" t="e">
        <f>IF(ISNUMBER('Bets'!N855),854,NA())</f>
        <v>#N/A</v>
      </c>
      <c r="B859" s="20" t="e">
        <f>IF(ISNUMBER('Bets'!N855),'Bets'!N855,NA())</f>
        <v>#N/A</v>
      </c>
    </row>
    <row r="860" spans="1:2">
      <c r="A860" s="22" t="e">
        <f>IF(ISNUMBER('Bets'!N856),855,NA())</f>
        <v>#N/A</v>
      </c>
      <c r="B860" s="20" t="e">
        <f>IF(ISNUMBER('Bets'!N856),'Bets'!N856,NA())</f>
        <v>#N/A</v>
      </c>
    </row>
    <row r="861" spans="1:2">
      <c r="A861" s="22" t="e">
        <f>IF(ISNUMBER('Bets'!N857),856,NA())</f>
        <v>#N/A</v>
      </c>
      <c r="B861" s="20" t="e">
        <f>IF(ISNUMBER('Bets'!N857),'Bets'!N857,NA())</f>
        <v>#N/A</v>
      </c>
    </row>
    <row r="862" spans="1:2">
      <c r="A862" s="22" t="e">
        <f>IF(ISNUMBER('Bets'!N858),857,NA())</f>
        <v>#N/A</v>
      </c>
      <c r="B862" s="20" t="e">
        <f>IF(ISNUMBER('Bets'!N858),'Bets'!N858,NA())</f>
        <v>#N/A</v>
      </c>
    </row>
    <row r="863" spans="1:2">
      <c r="A863" s="22" t="e">
        <f>IF(ISNUMBER('Bets'!N859),858,NA())</f>
        <v>#N/A</v>
      </c>
      <c r="B863" s="20" t="e">
        <f>IF(ISNUMBER('Bets'!N859),'Bets'!N859,NA())</f>
        <v>#N/A</v>
      </c>
    </row>
    <row r="864" spans="1:2">
      <c r="A864" s="22" t="e">
        <f>IF(ISNUMBER('Bets'!N860),859,NA())</f>
        <v>#N/A</v>
      </c>
      <c r="B864" s="20" t="e">
        <f>IF(ISNUMBER('Bets'!N860),'Bets'!N860,NA())</f>
        <v>#N/A</v>
      </c>
    </row>
    <row r="865" spans="1:2">
      <c r="A865" s="22" t="e">
        <f>IF(ISNUMBER('Bets'!N861),860,NA())</f>
        <v>#N/A</v>
      </c>
      <c r="B865" s="20" t="e">
        <f>IF(ISNUMBER('Bets'!N861),'Bets'!N861,NA())</f>
        <v>#N/A</v>
      </c>
    </row>
    <row r="866" spans="1:2">
      <c r="A866" s="22" t="e">
        <f>IF(ISNUMBER('Bets'!N862),861,NA())</f>
        <v>#N/A</v>
      </c>
      <c r="B866" s="20" t="e">
        <f>IF(ISNUMBER('Bets'!N862),'Bets'!N862,NA())</f>
        <v>#N/A</v>
      </c>
    </row>
    <row r="867" spans="1:2">
      <c r="A867" s="22" t="e">
        <f>IF(ISNUMBER('Bets'!N863),862,NA())</f>
        <v>#N/A</v>
      </c>
      <c r="B867" s="20" t="e">
        <f>IF(ISNUMBER('Bets'!N863),'Bets'!N863,NA())</f>
        <v>#N/A</v>
      </c>
    </row>
    <row r="868" spans="1:2">
      <c r="A868" s="22" t="e">
        <f>IF(ISNUMBER('Bets'!N864),863,NA())</f>
        <v>#N/A</v>
      </c>
      <c r="B868" s="20" t="e">
        <f>IF(ISNUMBER('Bets'!N864),'Bets'!N864,NA())</f>
        <v>#N/A</v>
      </c>
    </row>
    <row r="869" spans="1:2">
      <c r="A869" s="22" t="e">
        <f>IF(ISNUMBER('Bets'!N865),864,NA())</f>
        <v>#N/A</v>
      </c>
      <c r="B869" s="20" t="e">
        <f>IF(ISNUMBER('Bets'!N865),'Bets'!N865,NA())</f>
        <v>#N/A</v>
      </c>
    </row>
    <row r="870" spans="1:2">
      <c r="A870" s="22" t="e">
        <f>IF(ISNUMBER('Bets'!N866),865,NA())</f>
        <v>#N/A</v>
      </c>
      <c r="B870" s="20" t="e">
        <f>IF(ISNUMBER('Bets'!N866),'Bets'!N866,NA())</f>
        <v>#N/A</v>
      </c>
    </row>
    <row r="871" spans="1:2">
      <c r="A871" s="22" t="e">
        <f>IF(ISNUMBER('Bets'!N867),866,NA())</f>
        <v>#N/A</v>
      </c>
      <c r="B871" s="20" t="e">
        <f>IF(ISNUMBER('Bets'!N867),'Bets'!N867,NA())</f>
        <v>#N/A</v>
      </c>
    </row>
    <row r="872" spans="1:2">
      <c r="A872" s="22" t="e">
        <f>IF(ISNUMBER('Bets'!N868),867,NA())</f>
        <v>#N/A</v>
      </c>
      <c r="B872" s="20" t="e">
        <f>IF(ISNUMBER('Bets'!N868),'Bets'!N868,NA())</f>
        <v>#N/A</v>
      </c>
    </row>
    <row r="873" spans="1:2">
      <c r="A873" s="22" t="e">
        <f>IF(ISNUMBER('Bets'!N869),868,NA())</f>
        <v>#N/A</v>
      </c>
      <c r="B873" s="20" t="e">
        <f>IF(ISNUMBER('Bets'!N869),'Bets'!N869,NA())</f>
        <v>#N/A</v>
      </c>
    </row>
    <row r="874" spans="1:2">
      <c r="A874" s="22" t="e">
        <f>IF(ISNUMBER('Bets'!N870),869,NA())</f>
        <v>#N/A</v>
      </c>
      <c r="B874" s="20" t="e">
        <f>IF(ISNUMBER('Bets'!N870),'Bets'!N870,NA())</f>
        <v>#N/A</v>
      </c>
    </row>
    <row r="875" spans="1:2">
      <c r="A875" s="22" t="e">
        <f>IF(ISNUMBER('Bets'!N871),870,NA())</f>
        <v>#N/A</v>
      </c>
      <c r="B875" s="20" t="e">
        <f>IF(ISNUMBER('Bets'!N871),'Bets'!N871,NA())</f>
        <v>#N/A</v>
      </c>
    </row>
    <row r="876" spans="1:2">
      <c r="A876" s="22" t="e">
        <f>IF(ISNUMBER('Bets'!N872),871,NA())</f>
        <v>#N/A</v>
      </c>
      <c r="B876" s="20" t="e">
        <f>IF(ISNUMBER('Bets'!N872),'Bets'!N872,NA())</f>
        <v>#N/A</v>
      </c>
    </row>
    <row r="877" spans="1:2">
      <c r="A877" s="22" t="e">
        <f>IF(ISNUMBER('Bets'!N873),872,NA())</f>
        <v>#N/A</v>
      </c>
      <c r="B877" s="20" t="e">
        <f>IF(ISNUMBER('Bets'!N873),'Bets'!N873,NA())</f>
        <v>#N/A</v>
      </c>
    </row>
    <row r="878" spans="1:2">
      <c r="A878" s="22" t="e">
        <f>IF(ISNUMBER('Bets'!N874),873,NA())</f>
        <v>#N/A</v>
      </c>
      <c r="B878" s="20" t="e">
        <f>IF(ISNUMBER('Bets'!N874),'Bets'!N874,NA())</f>
        <v>#N/A</v>
      </c>
    </row>
    <row r="879" spans="1:2">
      <c r="A879" s="22" t="e">
        <f>IF(ISNUMBER('Bets'!N875),874,NA())</f>
        <v>#N/A</v>
      </c>
      <c r="B879" s="20" t="e">
        <f>IF(ISNUMBER('Bets'!N875),'Bets'!N875,NA())</f>
        <v>#N/A</v>
      </c>
    </row>
    <row r="880" spans="1:2">
      <c r="A880" s="22" t="e">
        <f>IF(ISNUMBER('Bets'!N876),875,NA())</f>
        <v>#N/A</v>
      </c>
      <c r="B880" s="20" t="e">
        <f>IF(ISNUMBER('Bets'!N876),'Bets'!N876,NA())</f>
        <v>#N/A</v>
      </c>
    </row>
    <row r="881" spans="1:2">
      <c r="A881" s="22" t="e">
        <f>IF(ISNUMBER('Bets'!N877),876,NA())</f>
        <v>#N/A</v>
      </c>
      <c r="B881" s="20" t="e">
        <f>IF(ISNUMBER('Bets'!N877),'Bets'!N877,NA())</f>
        <v>#N/A</v>
      </c>
    </row>
    <row r="882" spans="1:2">
      <c r="A882" s="22" t="e">
        <f>IF(ISNUMBER('Bets'!N878),877,NA())</f>
        <v>#N/A</v>
      </c>
      <c r="B882" s="20" t="e">
        <f>IF(ISNUMBER('Bets'!N878),'Bets'!N878,NA())</f>
        <v>#N/A</v>
      </c>
    </row>
    <row r="883" spans="1:2">
      <c r="A883" s="22" t="e">
        <f>IF(ISNUMBER('Bets'!N879),878,NA())</f>
        <v>#N/A</v>
      </c>
      <c r="B883" s="20" t="e">
        <f>IF(ISNUMBER('Bets'!N879),'Bets'!N879,NA())</f>
        <v>#N/A</v>
      </c>
    </row>
    <row r="884" spans="1:2">
      <c r="A884" s="22" t="e">
        <f>IF(ISNUMBER('Bets'!N880),879,NA())</f>
        <v>#N/A</v>
      </c>
      <c r="B884" s="20" t="e">
        <f>IF(ISNUMBER('Bets'!N880),'Bets'!N880,NA())</f>
        <v>#N/A</v>
      </c>
    </row>
    <row r="885" spans="1:2">
      <c r="A885" s="22" t="e">
        <f>IF(ISNUMBER('Bets'!N881),880,NA())</f>
        <v>#N/A</v>
      </c>
      <c r="B885" s="20" t="e">
        <f>IF(ISNUMBER('Bets'!N881),'Bets'!N881,NA())</f>
        <v>#N/A</v>
      </c>
    </row>
    <row r="886" spans="1:2">
      <c r="A886" s="22" t="e">
        <f>IF(ISNUMBER('Bets'!N882),881,NA())</f>
        <v>#N/A</v>
      </c>
      <c r="B886" s="20" t="e">
        <f>IF(ISNUMBER('Bets'!N882),'Bets'!N882,NA())</f>
        <v>#N/A</v>
      </c>
    </row>
    <row r="887" spans="1:2">
      <c r="A887" s="22" t="e">
        <f>IF(ISNUMBER('Bets'!N883),882,NA())</f>
        <v>#N/A</v>
      </c>
      <c r="B887" s="20" t="e">
        <f>IF(ISNUMBER('Bets'!N883),'Bets'!N883,NA())</f>
        <v>#N/A</v>
      </c>
    </row>
    <row r="888" spans="1:2">
      <c r="A888" s="22" t="e">
        <f>IF(ISNUMBER('Bets'!N884),883,NA())</f>
        <v>#N/A</v>
      </c>
      <c r="B888" s="20" t="e">
        <f>IF(ISNUMBER('Bets'!N884),'Bets'!N884,NA())</f>
        <v>#N/A</v>
      </c>
    </row>
    <row r="889" spans="1:2">
      <c r="A889" s="22" t="e">
        <f>IF(ISNUMBER('Bets'!N885),884,NA())</f>
        <v>#N/A</v>
      </c>
      <c r="B889" s="20" t="e">
        <f>IF(ISNUMBER('Bets'!N885),'Bets'!N885,NA())</f>
        <v>#N/A</v>
      </c>
    </row>
    <row r="890" spans="1:2">
      <c r="A890" s="22" t="e">
        <f>IF(ISNUMBER('Bets'!N886),885,NA())</f>
        <v>#N/A</v>
      </c>
      <c r="B890" s="20" t="e">
        <f>IF(ISNUMBER('Bets'!N886),'Bets'!N886,NA())</f>
        <v>#N/A</v>
      </c>
    </row>
    <row r="891" spans="1:2">
      <c r="A891" s="22" t="e">
        <f>IF(ISNUMBER('Bets'!N887),886,NA())</f>
        <v>#N/A</v>
      </c>
      <c r="B891" s="20" t="e">
        <f>IF(ISNUMBER('Bets'!N887),'Bets'!N887,NA())</f>
        <v>#N/A</v>
      </c>
    </row>
    <row r="892" spans="1:2">
      <c r="A892" s="22" t="e">
        <f>IF(ISNUMBER('Bets'!N888),887,NA())</f>
        <v>#N/A</v>
      </c>
      <c r="B892" s="20" t="e">
        <f>IF(ISNUMBER('Bets'!N888),'Bets'!N888,NA())</f>
        <v>#N/A</v>
      </c>
    </row>
    <row r="893" spans="1:2">
      <c r="A893" s="22" t="e">
        <f>IF(ISNUMBER('Bets'!N889),888,NA())</f>
        <v>#N/A</v>
      </c>
      <c r="B893" s="20" t="e">
        <f>IF(ISNUMBER('Bets'!N889),'Bets'!N889,NA())</f>
        <v>#N/A</v>
      </c>
    </row>
    <row r="894" spans="1:2">
      <c r="A894" s="22" t="e">
        <f>IF(ISNUMBER('Bets'!N890),889,NA())</f>
        <v>#N/A</v>
      </c>
      <c r="B894" s="20" t="e">
        <f>IF(ISNUMBER('Bets'!N890),'Bets'!N890,NA())</f>
        <v>#N/A</v>
      </c>
    </row>
    <row r="895" spans="1:2">
      <c r="A895" s="22" t="e">
        <f>IF(ISNUMBER('Bets'!N891),890,NA())</f>
        <v>#N/A</v>
      </c>
      <c r="B895" s="20" t="e">
        <f>IF(ISNUMBER('Bets'!N891),'Bets'!N891,NA())</f>
        <v>#N/A</v>
      </c>
    </row>
    <row r="896" spans="1:2">
      <c r="A896" s="22" t="e">
        <f>IF(ISNUMBER('Bets'!N892),891,NA())</f>
        <v>#N/A</v>
      </c>
      <c r="B896" s="20" t="e">
        <f>IF(ISNUMBER('Bets'!N892),'Bets'!N892,NA())</f>
        <v>#N/A</v>
      </c>
    </row>
    <row r="897" spans="1:2">
      <c r="A897" s="22" t="e">
        <f>IF(ISNUMBER('Bets'!N893),892,NA())</f>
        <v>#N/A</v>
      </c>
      <c r="B897" s="20" t="e">
        <f>IF(ISNUMBER('Bets'!N893),'Bets'!N893,NA())</f>
        <v>#N/A</v>
      </c>
    </row>
    <row r="898" spans="1:2">
      <c r="A898" s="22" t="e">
        <f>IF(ISNUMBER('Bets'!N894),893,NA())</f>
        <v>#N/A</v>
      </c>
      <c r="B898" s="20" t="e">
        <f>IF(ISNUMBER('Bets'!N894),'Bets'!N894,NA())</f>
        <v>#N/A</v>
      </c>
    </row>
    <row r="899" spans="1:2">
      <c r="A899" s="22" t="e">
        <f>IF(ISNUMBER('Bets'!N895),894,NA())</f>
        <v>#N/A</v>
      </c>
      <c r="B899" s="20" t="e">
        <f>IF(ISNUMBER('Bets'!N895),'Bets'!N895,NA())</f>
        <v>#N/A</v>
      </c>
    </row>
    <row r="900" spans="1:2">
      <c r="A900" s="22" t="e">
        <f>IF(ISNUMBER('Bets'!N896),895,NA())</f>
        <v>#N/A</v>
      </c>
      <c r="B900" s="20" t="e">
        <f>IF(ISNUMBER('Bets'!N896),'Bets'!N896,NA())</f>
        <v>#N/A</v>
      </c>
    </row>
    <row r="901" spans="1:2">
      <c r="A901" s="22" t="e">
        <f>IF(ISNUMBER('Bets'!N897),896,NA())</f>
        <v>#N/A</v>
      </c>
      <c r="B901" s="20" t="e">
        <f>IF(ISNUMBER('Bets'!N897),'Bets'!N897,NA())</f>
        <v>#N/A</v>
      </c>
    </row>
    <row r="902" spans="1:2">
      <c r="A902" s="22" t="e">
        <f>IF(ISNUMBER('Bets'!N898),897,NA())</f>
        <v>#N/A</v>
      </c>
      <c r="B902" s="20" t="e">
        <f>IF(ISNUMBER('Bets'!N898),'Bets'!N898,NA())</f>
        <v>#N/A</v>
      </c>
    </row>
    <row r="903" spans="1:2">
      <c r="A903" s="22" t="e">
        <f>IF(ISNUMBER('Bets'!N899),898,NA())</f>
        <v>#N/A</v>
      </c>
      <c r="B903" s="20" t="e">
        <f>IF(ISNUMBER('Bets'!N899),'Bets'!N899,NA())</f>
        <v>#N/A</v>
      </c>
    </row>
    <row r="904" spans="1:2">
      <c r="A904" s="22" t="e">
        <f>IF(ISNUMBER('Bets'!N900),899,NA())</f>
        <v>#N/A</v>
      </c>
      <c r="B904" s="20" t="e">
        <f>IF(ISNUMBER('Bets'!N900),'Bets'!N900,NA())</f>
        <v>#N/A</v>
      </c>
    </row>
    <row r="905" spans="1:2">
      <c r="A905" s="22" t="e">
        <f>IF(ISNUMBER('Bets'!N901),900,NA())</f>
        <v>#N/A</v>
      </c>
      <c r="B905" s="20" t="e">
        <f>IF(ISNUMBER('Bets'!N901),'Bets'!N901,NA())</f>
        <v>#N/A</v>
      </c>
    </row>
    <row r="906" spans="1:2">
      <c r="A906" s="22" t="e">
        <f>IF(ISNUMBER('Bets'!N902),901,NA())</f>
        <v>#N/A</v>
      </c>
      <c r="B906" s="20" t="e">
        <f>IF(ISNUMBER('Bets'!N902),'Bets'!N902,NA())</f>
        <v>#N/A</v>
      </c>
    </row>
    <row r="907" spans="1:2">
      <c r="A907" s="22" t="e">
        <f>IF(ISNUMBER('Bets'!N903),902,NA())</f>
        <v>#N/A</v>
      </c>
      <c r="B907" s="20" t="e">
        <f>IF(ISNUMBER('Bets'!N903),'Bets'!N903,NA())</f>
        <v>#N/A</v>
      </c>
    </row>
    <row r="908" spans="1:2">
      <c r="A908" s="22" t="e">
        <f>IF(ISNUMBER('Bets'!N904),903,NA())</f>
        <v>#N/A</v>
      </c>
      <c r="B908" s="20" t="e">
        <f>IF(ISNUMBER('Bets'!N904),'Bets'!N904,NA())</f>
        <v>#N/A</v>
      </c>
    </row>
    <row r="909" spans="1:2">
      <c r="A909" s="22" t="e">
        <f>IF(ISNUMBER('Bets'!N905),904,NA())</f>
        <v>#N/A</v>
      </c>
      <c r="B909" s="20" t="e">
        <f>IF(ISNUMBER('Bets'!N905),'Bets'!N905,NA())</f>
        <v>#N/A</v>
      </c>
    </row>
    <row r="910" spans="1:2">
      <c r="A910" s="22" t="e">
        <f>IF(ISNUMBER('Bets'!N906),905,NA())</f>
        <v>#N/A</v>
      </c>
      <c r="B910" s="20" t="e">
        <f>IF(ISNUMBER('Bets'!N906),'Bets'!N906,NA())</f>
        <v>#N/A</v>
      </c>
    </row>
    <row r="911" spans="1:2">
      <c r="A911" s="22" t="e">
        <f>IF(ISNUMBER('Bets'!N907),906,NA())</f>
        <v>#N/A</v>
      </c>
      <c r="B911" s="20" t="e">
        <f>IF(ISNUMBER('Bets'!N907),'Bets'!N907,NA())</f>
        <v>#N/A</v>
      </c>
    </row>
    <row r="912" spans="1:2">
      <c r="A912" s="22" t="e">
        <f>IF(ISNUMBER('Bets'!N908),907,NA())</f>
        <v>#N/A</v>
      </c>
      <c r="B912" s="20" t="e">
        <f>IF(ISNUMBER('Bets'!N908),'Bets'!N908,NA())</f>
        <v>#N/A</v>
      </c>
    </row>
    <row r="913" spans="1:2">
      <c r="A913" s="22" t="e">
        <f>IF(ISNUMBER('Bets'!N909),908,NA())</f>
        <v>#N/A</v>
      </c>
      <c r="B913" s="20" t="e">
        <f>IF(ISNUMBER('Bets'!N909),'Bets'!N909,NA())</f>
        <v>#N/A</v>
      </c>
    </row>
    <row r="914" spans="1:2">
      <c r="A914" s="22" t="e">
        <f>IF(ISNUMBER('Bets'!N910),909,NA())</f>
        <v>#N/A</v>
      </c>
      <c r="B914" s="20" t="e">
        <f>IF(ISNUMBER('Bets'!N910),'Bets'!N910,NA())</f>
        <v>#N/A</v>
      </c>
    </row>
    <row r="915" spans="1:2">
      <c r="A915" s="22" t="e">
        <f>IF(ISNUMBER('Bets'!N911),910,NA())</f>
        <v>#N/A</v>
      </c>
      <c r="B915" s="20" t="e">
        <f>IF(ISNUMBER('Bets'!N911),'Bets'!N911,NA())</f>
        <v>#N/A</v>
      </c>
    </row>
    <row r="916" spans="1:2">
      <c r="A916" s="22" t="e">
        <f>IF(ISNUMBER('Bets'!N912),911,NA())</f>
        <v>#N/A</v>
      </c>
      <c r="B916" s="20" t="e">
        <f>IF(ISNUMBER('Bets'!N912),'Bets'!N912,NA())</f>
        <v>#N/A</v>
      </c>
    </row>
    <row r="917" spans="1:2">
      <c r="A917" s="22" t="e">
        <f>IF(ISNUMBER('Bets'!N913),912,NA())</f>
        <v>#N/A</v>
      </c>
      <c r="B917" s="20" t="e">
        <f>IF(ISNUMBER('Bets'!N913),'Bets'!N913,NA())</f>
        <v>#N/A</v>
      </c>
    </row>
    <row r="918" spans="1:2">
      <c r="A918" s="22" t="e">
        <f>IF(ISNUMBER('Bets'!N914),913,NA())</f>
        <v>#N/A</v>
      </c>
      <c r="B918" s="20" t="e">
        <f>IF(ISNUMBER('Bets'!N914),'Bets'!N914,NA())</f>
        <v>#N/A</v>
      </c>
    </row>
    <row r="919" spans="1:2">
      <c r="A919" s="22" t="e">
        <f>IF(ISNUMBER('Bets'!N915),914,NA())</f>
        <v>#N/A</v>
      </c>
      <c r="B919" s="20" t="e">
        <f>IF(ISNUMBER('Bets'!N915),'Bets'!N915,NA())</f>
        <v>#N/A</v>
      </c>
    </row>
    <row r="920" spans="1:2">
      <c r="A920" s="22" t="e">
        <f>IF(ISNUMBER('Bets'!N916),915,NA())</f>
        <v>#N/A</v>
      </c>
      <c r="B920" s="20" t="e">
        <f>IF(ISNUMBER('Bets'!N916),'Bets'!N916,NA())</f>
        <v>#N/A</v>
      </c>
    </row>
    <row r="921" spans="1:2">
      <c r="A921" s="22" t="e">
        <f>IF(ISNUMBER('Bets'!N917),916,NA())</f>
        <v>#N/A</v>
      </c>
      <c r="B921" s="20" t="e">
        <f>IF(ISNUMBER('Bets'!N917),'Bets'!N917,NA())</f>
        <v>#N/A</v>
      </c>
    </row>
    <row r="922" spans="1:2">
      <c r="A922" s="22" t="e">
        <f>IF(ISNUMBER('Bets'!N918),917,NA())</f>
        <v>#N/A</v>
      </c>
      <c r="B922" s="20" t="e">
        <f>IF(ISNUMBER('Bets'!N918),'Bets'!N918,NA())</f>
        <v>#N/A</v>
      </c>
    </row>
    <row r="923" spans="1:2">
      <c r="A923" s="22" t="e">
        <f>IF(ISNUMBER('Bets'!N919),918,NA())</f>
        <v>#N/A</v>
      </c>
      <c r="B923" s="20" t="e">
        <f>IF(ISNUMBER('Bets'!N919),'Bets'!N919,NA())</f>
        <v>#N/A</v>
      </c>
    </row>
    <row r="924" spans="1:2">
      <c r="A924" s="22" t="e">
        <f>IF(ISNUMBER('Bets'!N920),919,NA())</f>
        <v>#N/A</v>
      </c>
      <c r="B924" s="20" t="e">
        <f>IF(ISNUMBER('Bets'!N920),'Bets'!N920,NA())</f>
        <v>#N/A</v>
      </c>
    </row>
    <row r="925" spans="1:2">
      <c r="A925" s="22" t="e">
        <f>IF(ISNUMBER('Bets'!N921),920,NA())</f>
        <v>#N/A</v>
      </c>
      <c r="B925" s="20" t="e">
        <f>IF(ISNUMBER('Bets'!N921),'Bets'!N921,NA())</f>
        <v>#N/A</v>
      </c>
    </row>
    <row r="926" spans="1:2">
      <c r="A926" s="22" t="e">
        <f>IF(ISNUMBER('Bets'!N922),921,NA())</f>
        <v>#N/A</v>
      </c>
      <c r="B926" s="20" t="e">
        <f>IF(ISNUMBER('Bets'!N922),'Bets'!N922,NA())</f>
        <v>#N/A</v>
      </c>
    </row>
    <row r="927" spans="1:2">
      <c r="A927" s="22" t="e">
        <f>IF(ISNUMBER('Bets'!N923),922,NA())</f>
        <v>#N/A</v>
      </c>
      <c r="B927" s="20" t="e">
        <f>IF(ISNUMBER('Bets'!N923),'Bets'!N923,NA())</f>
        <v>#N/A</v>
      </c>
    </row>
    <row r="928" spans="1:2">
      <c r="A928" s="22" t="e">
        <f>IF(ISNUMBER('Bets'!N924),923,NA())</f>
        <v>#N/A</v>
      </c>
      <c r="B928" s="20" t="e">
        <f>IF(ISNUMBER('Bets'!N924),'Bets'!N924,NA())</f>
        <v>#N/A</v>
      </c>
    </row>
    <row r="929" spans="1:2">
      <c r="A929" s="22" t="e">
        <f>IF(ISNUMBER('Bets'!N925),924,NA())</f>
        <v>#N/A</v>
      </c>
      <c r="B929" s="20" t="e">
        <f>IF(ISNUMBER('Bets'!N925),'Bets'!N925,NA())</f>
        <v>#N/A</v>
      </c>
    </row>
    <row r="930" spans="1:2">
      <c r="A930" s="22" t="e">
        <f>IF(ISNUMBER('Bets'!N926),925,NA())</f>
        <v>#N/A</v>
      </c>
      <c r="B930" s="20" t="e">
        <f>IF(ISNUMBER('Bets'!N926),'Bets'!N926,NA())</f>
        <v>#N/A</v>
      </c>
    </row>
    <row r="931" spans="1:2">
      <c r="A931" s="22" t="e">
        <f>IF(ISNUMBER('Bets'!N927),926,NA())</f>
        <v>#N/A</v>
      </c>
      <c r="B931" s="20" t="e">
        <f>IF(ISNUMBER('Bets'!N927),'Bets'!N927,NA())</f>
        <v>#N/A</v>
      </c>
    </row>
    <row r="932" spans="1:2">
      <c r="A932" s="22" t="e">
        <f>IF(ISNUMBER('Bets'!N928),927,NA())</f>
        <v>#N/A</v>
      </c>
      <c r="B932" s="20" t="e">
        <f>IF(ISNUMBER('Bets'!N928),'Bets'!N928,NA())</f>
        <v>#N/A</v>
      </c>
    </row>
    <row r="933" spans="1:2">
      <c r="A933" s="22" t="e">
        <f>IF(ISNUMBER('Bets'!N929),928,NA())</f>
        <v>#N/A</v>
      </c>
      <c r="B933" s="20" t="e">
        <f>IF(ISNUMBER('Bets'!N929),'Bets'!N929,NA())</f>
        <v>#N/A</v>
      </c>
    </row>
    <row r="934" spans="1:2">
      <c r="A934" s="22" t="e">
        <f>IF(ISNUMBER('Bets'!N930),929,NA())</f>
        <v>#N/A</v>
      </c>
      <c r="B934" s="20" t="e">
        <f>IF(ISNUMBER('Bets'!N930),'Bets'!N930,NA())</f>
        <v>#N/A</v>
      </c>
    </row>
    <row r="935" spans="1:2">
      <c r="A935" s="22" t="e">
        <f>IF(ISNUMBER('Bets'!N931),930,NA())</f>
        <v>#N/A</v>
      </c>
      <c r="B935" s="20" t="e">
        <f>IF(ISNUMBER('Bets'!N931),'Bets'!N931,NA())</f>
        <v>#N/A</v>
      </c>
    </row>
    <row r="936" spans="1:2">
      <c r="A936" s="22" t="e">
        <f>IF(ISNUMBER('Bets'!N932),931,NA())</f>
        <v>#N/A</v>
      </c>
      <c r="B936" s="20" t="e">
        <f>IF(ISNUMBER('Bets'!N932),'Bets'!N932,NA())</f>
        <v>#N/A</v>
      </c>
    </row>
    <row r="937" spans="1:2">
      <c r="A937" s="22" t="e">
        <f>IF(ISNUMBER('Bets'!N933),932,NA())</f>
        <v>#N/A</v>
      </c>
      <c r="B937" s="20" t="e">
        <f>IF(ISNUMBER('Bets'!N933),'Bets'!N933,NA())</f>
        <v>#N/A</v>
      </c>
    </row>
    <row r="938" spans="1:2">
      <c r="A938" s="22" t="e">
        <f>IF(ISNUMBER('Bets'!N934),933,NA())</f>
        <v>#N/A</v>
      </c>
      <c r="B938" s="20" t="e">
        <f>IF(ISNUMBER('Bets'!N934),'Bets'!N934,NA())</f>
        <v>#N/A</v>
      </c>
    </row>
    <row r="939" spans="1:2">
      <c r="A939" s="22" t="e">
        <f>IF(ISNUMBER('Bets'!N935),934,NA())</f>
        <v>#N/A</v>
      </c>
      <c r="B939" s="20" t="e">
        <f>IF(ISNUMBER('Bets'!N935),'Bets'!N935,NA())</f>
        <v>#N/A</v>
      </c>
    </row>
    <row r="940" spans="1:2">
      <c r="A940" s="22" t="e">
        <f>IF(ISNUMBER('Bets'!N936),935,NA())</f>
        <v>#N/A</v>
      </c>
      <c r="B940" s="20" t="e">
        <f>IF(ISNUMBER('Bets'!N936),'Bets'!N936,NA())</f>
        <v>#N/A</v>
      </c>
    </row>
    <row r="941" spans="1:2">
      <c r="A941" s="22" t="e">
        <f>IF(ISNUMBER('Bets'!N937),936,NA())</f>
        <v>#N/A</v>
      </c>
      <c r="B941" s="20" t="e">
        <f>IF(ISNUMBER('Bets'!N937),'Bets'!N937,NA())</f>
        <v>#N/A</v>
      </c>
    </row>
    <row r="942" spans="1:2">
      <c r="A942" s="22" t="e">
        <f>IF(ISNUMBER('Bets'!N938),937,NA())</f>
        <v>#N/A</v>
      </c>
      <c r="B942" s="20" t="e">
        <f>IF(ISNUMBER('Bets'!N938),'Bets'!N938,NA())</f>
        <v>#N/A</v>
      </c>
    </row>
    <row r="943" spans="1:2">
      <c r="A943" s="22" t="e">
        <f>IF(ISNUMBER('Bets'!N939),938,NA())</f>
        <v>#N/A</v>
      </c>
      <c r="B943" s="20" t="e">
        <f>IF(ISNUMBER('Bets'!N939),'Bets'!N939,NA())</f>
        <v>#N/A</v>
      </c>
    </row>
    <row r="944" spans="1:2">
      <c r="A944" s="22" t="e">
        <f>IF(ISNUMBER('Bets'!N940),939,NA())</f>
        <v>#N/A</v>
      </c>
      <c r="B944" s="20" t="e">
        <f>IF(ISNUMBER('Bets'!N940),'Bets'!N940,NA())</f>
        <v>#N/A</v>
      </c>
    </row>
    <row r="945" spans="1:2">
      <c r="A945" s="22" t="e">
        <f>IF(ISNUMBER('Bets'!N941),940,NA())</f>
        <v>#N/A</v>
      </c>
      <c r="B945" s="20" t="e">
        <f>IF(ISNUMBER('Bets'!N941),'Bets'!N941,NA())</f>
        <v>#N/A</v>
      </c>
    </row>
    <row r="946" spans="1:2">
      <c r="A946" s="22" t="e">
        <f>IF(ISNUMBER('Bets'!N942),941,NA())</f>
        <v>#N/A</v>
      </c>
      <c r="B946" s="20" t="e">
        <f>IF(ISNUMBER('Bets'!N942),'Bets'!N942,NA())</f>
        <v>#N/A</v>
      </c>
    </row>
    <row r="947" spans="1:2">
      <c r="A947" s="22" t="e">
        <f>IF(ISNUMBER('Bets'!N943),942,NA())</f>
        <v>#N/A</v>
      </c>
      <c r="B947" s="20" t="e">
        <f>IF(ISNUMBER('Bets'!N943),'Bets'!N943,NA())</f>
        <v>#N/A</v>
      </c>
    </row>
    <row r="948" spans="1:2">
      <c r="A948" s="22" t="e">
        <f>IF(ISNUMBER('Bets'!N944),943,NA())</f>
        <v>#N/A</v>
      </c>
      <c r="B948" s="20" t="e">
        <f>IF(ISNUMBER('Bets'!N944),'Bets'!N944,NA())</f>
        <v>#N/A</v>
      </c>
    </row>
    <row r="949" spans="1:2">
      <c r="A949" s="22" t="e">
        <f>IF(ISNUMBER('Bets'!N945),944,NA())</f>
        <v>#N/A</v>
      </c>
      <c r="B949" s="20" t="e">
        <f>IF(ISNUMBER('Bets'!N945),'Bets'!N945,NA())</f>
        <v>#N/A</v>
      </c>
    </row>
    <row r="950" spans="1:2">
      <c r="A950" s="22" t="e">
        <f>IF(ISNUMBER('Bets'!N946),945,NA())</f>
        <v>#N/A</v>
      </c>
      <c r="B950" s="20" t="e">
        <f>IF(ISNUMBER('Bets'!N946),'Bets'!N946,NA())</f>
        <v>#N/A</v>
      </c>
    </row>
    <row r="951" spans="1:2">
      <c r="A951" s="22" t="e">
        <f>IF(ISNUMBER('Bets'!N947),946,NA())</f>
        <v>#N/A</v>
      </c>
      <c r="B951" s="20" t="e">
        <f>IF(ISNUMBER('Bets'!N947),'Bets'!N947,NA())</f>
        <v>#N/A</v>
      </c>
    </row>
    <row r="952" spans="1:2">
      <c r="A952" s="22" t="e">
        <f>IF(ISNUMBER('Bets'!N948),947,NA())</f>
        <v>#N/A</v>
      </c>
      <c r="B952" s="20" t="e">
        <f>IF(ISNUMBER('Bets'!N948),'Bets'!N948,NA())</f>
        <v>#N/A</v>
      </c>
    </row>
    <row r="953" spans="1:2">
      <c r="A953" s="22" t="e">
        <f>IF(ISNUMBER('Bets'!N949),948,NA())</f>
        <v>#N/A</v>
      </c>
      <c r="B953" s="20" t="e">
        <f>IF(ISNUMBER('Bets'!N949),'Bets'!N949,NA())</f>
        <v>#N/A</v>
      </c>
    </row>
    <row r="954" spans="1:2">
      <c r="A954" s="22" t="e">
        <f>IF(ISNUMBER('Bets'!N950),949,NA())</f>
        <v>#N/A</v>
      </c>
      <c r="B954" s="20" t="e">
        <f>IF(ISNUMBER('Bets'!N950),'Bets'!N950,NA())</f>
        <v>#N/A</v>
      </c>
    </row>
    <row r="955" spans="1:2">
      <c r="A955" s="22" t="e">
        <f>IF(ISNUMBER('Bets'!N951),950,NA())</f>
        <v>#N/A</v>
      </c>
      <c r="B955" s="20" t="e">
        <f>IF(ISNUMBER('Bets'!N951),'Bets'!N951,NA())</f>
        <v>#N/A</v>
      </c>
    </row>
    <row r="956" spans="1:2">
      <c r="A956" s="22" t="e">
        <f>IF(ISNUMBER('Bets'!N952),951,NA())</f>
        <v>#N/A</v>
      </c>
      <c r="B956" s="20" t="e">
        <f>IF(ISNUMBER('Bets'!N952),'Bets'!N952,NA())</f>
        <v>#N/A</v>
      </c>
    </row>
    <row r="957" spans="1:2">
      <c r="A957" s="22" t="e">
        <f>IF(ISNUMBER('Bets'!N953),952,NA())</f>
        <v>#N/A</v>
      </c>
      <c r="B957" s="20" t="e">
        <f>IF(ISNUMBER('Bets'!N953),'Bets'!N953,NA())</f>
        <v>#N/A</v>
      </c>
    </row>
    <row r="958" spans="1:2">
      <c r="A958" s="22" t="e">
        <f>IF(ISNUMBER('Bets'!N954),953,NA())</f>
        <v>#N/A</v>
      </c>
      <c r="B958" s="20" t="e">
        <f>IF(ISNUMBER('Bets'!N954),'Bets'!N954,NA())</f>
        <v>#N/A</v>
      </c>
    </row>
    <row r="959" spans="1:2">
      <c r="A959" s="22" t="e">
        <f>IF(ISNUMBER('Bets'!N955),954,NA())</f>
        <v>#N/A</v>
      </c>
      <c r="B959" s="20" t="e">
        <f>IF(ISNUMBER('Bets'!N955),'Bets'!N955,NA())</f>
        <v>#N/A</v>
      </c>
    </row>
    <row r="960" spans="1:2">
      <c r="A960" s="22" t="e">
        <f>IF(ISNUMBER('Bets'!N956),955,NA())</f>
        <v>#N/A</v>
      </c>
      <c r="B960" s="20" t="e">
        <f>IF(ISNUMBER('Bets'!N956),'Bets'!N956,NA())</f>
        <v>#N/A</v>
      </c>
    </row>
    <row r="961" spans="1:2">
      <c r="A961" s="22" t="e">
        <f>IF(ISNUMBER('Bets'!N957),956,NA())</f>
        <v>#N/A</v>
      </c>
      <c r="B961" s="20" t="e">
        <f>IF(ISNUMBER('Bets'!N957),'Bets'!N957,NA())</f>
        <v>#N/A</v>
      </c>
    </row>
    <row r="962" spans="1:2">
      <c r="A962" s="22" t="e">
        <f>IF(ISNUMBER('Bets'!N958),957,NA())</f>
        <v>#N/A</v>
      </c>
      <c r="B962" s="20" t="e">
        <f>IF(ISNUMBER('Bets'!N958),'Bets'!N958,NA())</f>
        <v>#N/A</v>
      </c>
    </row>
    <row r="963" spans="1:2">
      <c r="A963" s="22" t="e">
        <f>IF(ISNUMBER('Bets'!N959),958,NA())</f>
        <v>#N/A</v>
      </c>
      <c r="B963" s="20" t="e">
        <f>IF(ISNUMBER('Bets'!N959),'Bets'!N959,NA())</f>
        <v>#N/A</v>
      </c>
    </row>
    <row r="964" spans="1:2">
      <c r="A964" s="22" t="e">
        <f>IF(ISNUMBER('Bets'!N960),959,NA())</f>
        <v>#N/A</v>
      </c>
      <c r="B964" s="20" t="e">
        <f>IF(ISNUMBER('Bets'!N960),'Bets'!N960,NA())</f>
        <v>#N/A</v>
      </c>
    </row>
    <row r="965" spans="1:2">
      <c r="A965" s="22" t="e">
        <f>IF(ISNUMBER('Bets'!N961),960,NA())</f>
        <v>#N/A</v>
      </c>
      <c r="B965" s="20" t="e">
        <f>IF(ISNUMBER('Bets'!N961),'Bets'!N961,NA())</f>
        <v>#N/A</v>
      </c>
    </row>
    <row r="966" spans="1:2">
      <c r="A966" s="22" t="e">
        <f>IF(ISNUMBER('Bets'!N962),961,NA())</f>
        <v>#N/A</v>
      </c>
      <c r="B966" s="20" t="e">
        <f>IF(ISNUMBER('Bets'!N962),'Bets'!N962,NA())</f>
        <v>#N/A</v>
      </c>
    </row>
    <row r="967" spans="1:2">
      <c r="A967" s="22" t="e">
        <f>IF(ISNUMBER('Bets'!N963),962,NA())</f>
        <v>#N/A</v>
      </c>
      <c r="B967" s="20" t="e">
        <f>IF(ISNUMBER('Bets'!N963),'Bets'!N963,NA())</f>
        <v>#N/A</v>
      </c>
    </row>
    <row r="968" spans="1:2">
      <c r="A968" s="22" t="e">
        <f>IF(ISNUMBER('Bets'!N964),963,NA())</f>
        <v>#N/A</v>
      </c>
      <c r="B968" s="20" t="e">
        <f>IF(ISNUMBER('Bets'!N964),'Bets'!N964,NA())</f>
        <v>#N/A</v>
      </c>
    </row>
    <row r="969" spans="1:2">
      <c r="A969" s="22" t="e">
        <f>IF(ISNUMBER('Bets'!N965),964,NA())</f>
        <v>#N/A</v>
      </c>
      <c r="B969" s="20" t="e">
        <f>IF(ISNUMBER('Bets'!N965),'Bets'!N965,NA())</f>
        <v>#N/A</v>
      </c>
    </row>
    <row r="970" spans="1:2">
      <c r="A970" s="22" t="e">
        <f>IF(ISNUMBER('Bets'!N966),965,NA())</f>
        <v>#N/A</v>
      </c>
      <c r="B970" s="20" t="e">
        <f>IF(ISNUMBER('Bets'!N966),'Bets'!N966,NA())</f>
        <v>#N/A</v>
      </c>
    </row>
    <row r="971" spans="1:2">
      <c r="A971" s="22" t="e">
        <f>IF(ISNUMBER('Bets'!N967),966,NA())</f>
        <v>#N/A</v>
      </c>
      <c r="B971" s="20" t="e">
        <f>IF(ISNUMBER('Bets'!N967),'Bets'!N967,NA())</f>
        <v>#N/A</v>
      </c>
    </row>
    <row r="972" spans="1:2">
      <c r="A972" s="22" t="e">
        <f>IF(ISNUMBER('Bets'!N968),967,NA())</f>
        <v>#N/A</v>
      </c>
      <c r="B972" s="20" t="e">
        <f>IF(ISNUMBER('Bets'!N968),'Bets'!N968,NA())</f>
        <v>#N/A</v>
      </c>
    </row>
    <row r="973" spans="1:2">
      <c r="A973" s="22" t="e">
        <f>IF(ISNUMBER('Bets'!N969),968,NA())</f>
        <v>#N/A</v>
      </c>
      <c r="B973" s="20" t="e">
        <f>IF(ISNUMBER('Bets'!N969),'Bets'!N969,NA())</f>
        <v>#N/A</v>
      </c>
    </row>
    <row r="974" spans="1:2">
      <c r="A974" s="22" t="e">
        <f>IF(ISNUMBER('Bets'!N970),969,NA())</f>
        <v>#N/A</v>
      </c>
      <c r="B974" s="20" t="e">
        <f>IF(ISNUMBER('Bets'!N970),'Bets'!N970,NA())</f>
        <v>#N/A</v>
      </c>
    </row>
    <row r="975" spans="1:2">
      <c r="A975" s="22" t="e">
        <f>IF(ISNUMBER('Bets'!N971),970,NA())</f>
        <v>#N/A</v>
      </c>
      <c r="B975" s="20" t="e">
        <f>IF(ISNUMBER('Bets'!N971),'Bets'!N971,NA())</f>
        <v>#N/A</v>
      </c>
    </row>
    <row r="976" spans="1:2">
      <c r="A976" s="22" t="e">
        <f>IF(ISNUMBER('Bets'!N972),971,NA())</f>
        <v>#N/A</v>
      </c>
      <c r="B976" s="20" t="e">
        <f>IF(ISNUMBER('Bets'!N972),'Bets'!N972,NA())</f>
        <v>#N/A</v>
      </c>
    </row>
    <row r="977" spans="1:2">
      <c r="A977" s="22" t="e">
        <f>IF(ISNUMBER('Bets'!N973),972,NA())</f>
        <v>#N/A</v>
      </c>
      <c r="B977" s="20" t="e">
        <f>IF(ISNUMBER('Bets'!N973),'Bets'!N973,NA())</f>
        <v>#N/A</v>
      </c>
    </row>
    <row r="978" spans="1:2">
      <c r="A978" s="22" t="e">
        <f>IF(ISNUMBER('Bets'!N974),973,NA())</f>
        <v>#N/A</v>
      </c>
      <c r="B978" s="20" t="e">
        <f>IF(ISNUMBER('Bets'!N974),'Bets'!N974,NA())</f>
        <v>#N/A</v>
      </c>
    </row>
    <row r="979" spans="1:2">
      <c r="A979" s="22" t="e">
        <f>IF(ISNUMBER('Bets'!N975),974,NA())</f>
        <v>#N/A</v>
      </c>
      <c r="B979" s="20" t="e">
        <f>IF(ISNUMBER('Bets'!N975),'Bets'!N975,NA())</f>
        <v>#N/A</v>
      </c>
    </row>
    <row r="980" spans="1:2">
      <c r="A980" s="22" t="e">
        <f>IF(ISNUMBER('Bets'!N976),975,NA())</f>
        <v>#N/A</v>
      </c>
      <c r="B980" s="20" t="e">
        <f>IF(ISNUMBER('Bets'!N976),'Bets'!N976,NA())</f>
        <v>#N/A</v>
      </c>
    </row>
    <row r="981" spans="1:2">
      <c r="A981" s="22" t="e">
        <f>IF(ISNUMBER('Bets'!N977),976,NA())</f>
        <v>#N/A</v>
      </c>
      <c r="B981" s="20" t="e">
        <f>IF(ISNUMBER('Bets'!N977),'Bets'!N977,NA())</f>
        <v>#N/A</v>
      </c>
    </row>
    <row r="982" spans="1:2">
      <c r="A982" s="22" t="e">
        <f>IF(ISNUMBER('Bets'!N978),977,NA())</f>
        <v>#N/A</v>
      </c>
      <c r="B982" s="20" t="e">
        <f>IF(ISNUMBER('Bets'!N978),'Bets'!N978,NA())</f>
        <v>#N/A</v>
      </c>
    </row>
    <row r="983" spans="1:2">
      <c r="A983" s="22" t="e">
        <f>IF(ISNUMBER('Bets'!N979),978,NA())</f>
        <v>#N/A</v>
      </c>
      <c r="B983" s="20" t="e">
        <f>IF(ISNUMBER('Bets'!N979),'Bets'!N979,NA())</f>
        <v>#N/A</v>
      </c>
    </row>
    <row r="984" spans="1:2">
      <c r="A984" s="22" t="e">
        <f>IF(ISNUMBER('Bets'!N980),979,NA())</f>
        <v>#N/A</v>
      </c>
      <c r="B984" s="20" t="e">
        <f>IF(ISNUMBER('Bets'!N980),'Bets'!N980,NA())</f>
        <v>#N/A</v>
      </c>
    </row>
    <row r="985" spans="1:2">
      <c r="A985" s="22" t="e">
        <f>IF(ISNUMBER('Bets'!N981),980,NA())</f>
        <v>#N/A</v>
      </c>
      <c r="B985" s="20" t="e">
        <f>IF(ISNUMBER('Bets'!N981),'Bets'!N981,NA())</f>
        <v>#N/A</v>
      </c>
    </row>
    <row r="986" spans="1:2">
      <c r="A986" s="22" t="e">
        <f>IF(ISNUMBER('Bets'!N982),981,NA())</f>
        <v>#N/A</v>
      </c>
      <c r="B986" s="20" t="e">
        <f>IF(ISNUMBER('Bets'!N982),'Bets'!N982,NA())</f>
        <v>#N/A</v>
      </c>
    </row>
    <row r="987" spans="1:2">
      <c r="A987" s="22" t="e">
        <f>IF(ISNUMBER('Bets'!N983),982,NA())</f>
        <v>#N/A</v>
      </c>
      <c r="B987" s="20" t="e">
        <f>IF(ISNUMBER('Bets'!N983),'Bets'!N983,NA())</f>
        <v>#N/A</v>
      </c>
    </row>
    <row r="988" spans="1:2">
      <c r="A988" s="22" t="e">
        <f>IF(ISNUMBER('Bets'!N984),983,NA())</f>
        <v>#N/A</v>
      </c>
      <c r="B988" s="20" t="e">
        <f>IF(ISNUMBER('Bets'!N984),'Bets'!N984,NA())</f>
        <v>#N/A</v>
      </c>
    </row>
    <row r="989" spans="1:2">
      <c r="A989" s="22" t="e">
        <f>IF(ISNUMBER('Bets'!N985),984,NA())</f>
        <v>#N/A</v>
      </c>
      <c r="B989" s="20" t="e">
        <f>IF(ISNUMBER('Bets'!N985),'Bets'!N985,NA())</f>
        <v>#N/A</v>
      </c>
    </row>
    <row r="990" spans="1:2">
      <c r="A990" s="22" t="e">
        <f>IF(ISNUMBER('Bets'!N986),985,NA())</f>
        <v>#N/A</v>
      </c>
      <c r="B990" s="20" t="e">
        <f>IF(ISNUMBER('Bets'!N986),'Bets'!N986,NA())</f>
        <v>#N/A</v>
      </c>
    </row>
    <row r="991" spans="1:2">
      <c r="A991" s="22" t="e">
        <f>IF(ISNUMBER('Bets'!N987),986,NA())</f>
        <v>#N/A</v>
      </c>
      <c r="B991" s="20" t="e">
        <f>IF(ISNUMBER('Bets'!N987),'Bets'!N987,NA())</f>
        <v>#N/A</v>
      </c>
    </row>
    <row r="992" spans="1:2">
      <c r="A992" s="22" t="e">
        <f>IF(ISNUMBER('Bets'!N988),987,NA())</f>
        <v>#N/A</v>
      </c>
      <c r="B992" s="20" t="e">
        <f>IF(ISNUMBER('Bets'!N988),'Bets'!N988,NA())</f>
        <v>#N/A</v>
      </c>
    </row>
    <row r="993" spans="1:2">
      <c r="A993" s="22" t="e">
        <f>IF(ISNUMBER('Bets'!N989),988,NA())</f>
        <v>#N/A</v>
      </c>
      <c r="B993" s="20" t="e">
        <f>IF(ISNUMBER('Bets'!N989),'Bets'!N989,NA())</f>
        <v>#N/A</v>
      </c>
    </row>
    <row r="994" spans="1:2">
      <c r="A994" s="22" t="e">
        <f>IF(ISNUMBER('Bets'!N990),989,NA())</f>
        <v>#N/A</v>
      </c>
      <c r="B994" s="20" t="e">
        <f>IF(ISNUMBER('Bets'!N990),'Bets'!N990,NA())</f>
        <v>#N/A</v>
      </c>
    </row>
    <row r="995" spans="1:2">
      <c r="A995" s="22" t="e">
        <f>IF(ISNUMBER('Bets'!N991),990,NA())</f>
        <v>#N/A</v>
      </c>
      <c r="B995" s="20" t="e">
        <f>IF(ISNUMBER('Bets'!N991),'Bets'!N991,NA())</f>
        <v>#N/A</v>
      </c>
    </row>
    <row r="996" spans="1:2">
      <c r="A996" s="22" t="e">
        <f>IF(ISNUMBER('Bets'!N992),991,NA())</f>
        <v>#N/A</v>
      </c>
      <c r="B996" s="20" t="e">
        <f>IF(ISNUMBER('Bets'!N992),'Bets'!N992,NA())</f>
        <v>#N/A</v>
      </c>
    </row>
    <row r="997" spans="1:2">
      <c r="A997" s="22" t="e">
        <f>IF(ISNUMBER('Bets'!N993),992,NA())</f>
        <v>#N/A</v>
      </c>
      <c r="B997" s="20" t="e">
        <f>IF(ISNUMBER('Bets'!N993),'Bets'!N993,NA())</f>
        <v>#N/A</v>
      </c>
    </row>
    <row r="998" spans="1:2">
      <c r="A998" s="22" t="e">
        <f>IF(ISNUMBER('Bets'!N994),993,NA())</f>
        <v>#N/A</v>
      </c>
      <c r="B998" s="20" t="e">
        <f>IF(ISNUMBER('Bets'!N994),'Bets'!N994,NA())</f>
        <v>#N/A</v>
      </c>
    </row>
    <row r="999" spans="1:2">
      <c r="A999" s="22" t="e">
        <f>IF(ISNUMBER('Bets'!N995),994,NA())</f>
        <v>#N/A</v>
      </c>
      <c r="B999" s="20" t="e">
        <f>IF(ISNUMBER('Bets'!N995),'Bets'!N995,NA())</f>
        <v>#N/A</v>
      </c>
    </row>
    <row r="1000" spans="1:2">
      <c r="A1000" s="22" t="e">
        <f>IF(ISNUMBER('Bets'!N996),995,NA())</f>
        <v>#N/A</v>
      </c>
      <c r="B1000" s="20" t="e">
        <f>IF(ISNUMBER('Bets'!N996),'Bets'!N996,NA())</f>
        <v>#N/A</v>
      </c>
    </row>
    <row r="1001" spans="1:2">
      <c r="A1001" s="22" t="e">
        <f>IF(ISNUMBER('Bets'!N997),996,NA())</f>
        <v>#N/A</v>
      </c>
      <c r="B1001" s="20" t="e">
        <f>IF(ISNUMBER('Bets'!N997),'Bets'!N997,NA())</f>
        <v>#N/A</v>
      </c>
    </row>
    <row r="1002" spans="1:2">
      <c r="A1002" s="22" t="e">
        <f>IF(ISNUMBER('Bets'!N998),997,NA())</f>
        <v>#N/A</v>
      </c>
      <c r="B1002" s="20" t="e">
        <f>IF(ISNUMBER('Bets'!N998),'Bets'!N998,NA())</f>
        <v>#N/A</v>
      </c>
    </row>
    <row r="1003" spans="1:2">
      <c r="A1003" s="22" t="e">
        <f>IF(ISNUMBER('Bets'!N999),998,NA())</f>
        <v>#N/A</v>
      </c>
      <c r="B1003" s="20" t="e">
        <f>IF(ISNUMBER('Bets'!N999),'Bets'!N999,NA())</f>
        <v>#N/A</v>
      </c>
    </row>
    <row r="1004" spans="1:2">
      <c r="A1004" s="22" t="e">
        <f>IF(ISNUMBER('Bets'!N1000),999,NA())</f>
        <v>#N/A</v>
      </c>
      <c r="B1004" s="20" t="e">
        <f>IF(ISNUMBER('Bets'!N1000),'Bets'!N1000,NA())</f>
        <v>#N/A</v>
      </c>
    </row>
  </sheetData>
  <mergeCells count="1">
    <mergeCell ref="A2:E2"/>
  </mergeCells>
  <conditionalFormatting sqref="A6:B1004">
    <cfRule type="expression" dxfId="2" priority="1">
      <formula>ISNA(A6)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Bets</vt:lpstr>
      <vt:lpstr>Summary</vt:lpstr>
      <vt:lpstr>Charts</vt:lpstr>
      <vt:lpstr>Months</vt:lpstr>
      <vt:lpstr>Sports</vt:lpstr>
      <vt:lpstr>Statuses</vt:lpstr>
      <vt:lpstr>Balance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2026-10-23T05:54:33Z</dcterms:created>
  <dcterms:modified xsi:type="dcterms:W3CDTF">2026-10-23T05:54:33Z</dcterms:modified>
</cp:coreProperties>
</file>